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7100" windowHeight="12705" activeTab="0"/>
  </bookViews>
  <sheets>
    <sheet name="Sheet1" sheetId="1" r:id="rId1"/>
    <sheet name="Sheet2" sheetId="2" r:id="rId2"/>
    <sheet name="Sheet3" sheetId="3" r:id="rId3"/>
  </sheets>
  <definedNames/>
  <calcPr fullCalcOnLoad="1" iterate="1" iterateCount="1000" iterateDelta="0.001"/>
</workbook>
</file>

<file path=xl/sharedStrings.xml><?xml version="1.0" encoding="utf-8"?>
<sst xmlns="http://schemas.openxmlformats.org/spreadsheetml/2006/main" count="255" uniqueCount="118">
  <si>
    <r>
      <t>Change the slope to 0.3</t>
    </r>
    <r>
      <rPr>
        <vertAlign val="superscript"/>
        <sz val="10"/>
        <rFont val="Arial"/>
        <family val="2"/>
      </rPr>
      <t>O</t>
    </r>
    <r>
      <rPr>
        <sz val="10"/>
        <rFont val="Arial"/>
        <family val="0"/>
      </rPr>
      <t xml:space="preserve"> and you get almost 69 feet for a 123 mm wide V trough.</t>
    </r>
  </si>
  <si>
    <r>
      <t>Leave the slope at 0.5</t>
    </r>
    <r>
      <rPr>
        <vertAlign val="superscript"/>
        <sz val="10"/>
        <rFont val="Arial"/>
        <family val="2"/>
      </rPr>
      <t>O</t>
    </r>
    <r>
      <rPr>
        <sz val="10"/>
        <rFont val="Arial"/>
        <family val="0"/>
      </rPr>
      <t>, use a 111 mm wide V trough, and put in two tanks, one at the d-a corner of the house and one at the B corner.</t>
    </r>
  </si>
  <si>
    <r>
      <t>Fourth:</t>
    </r>
    <r>
      <rPr>
        <b/>
        <sz val="10"/>
        <rFont val="Arial"/>
        <family val="2"/>
      </rPr>
      <t xml:space="preserve"> Downspout size, location, and a few other comments.</t>
    </r>
  </si>
  <si>
    <t>I don't recommend that you size your downspout based on pipe sizing tables or equations.  I recommend you go outside and look at trees that overhang your roof.  You'll need to put in a downspout that won't clog with the leaves that are going to land on your roof.  For most of you, that will be a 4 inch or 110mm pipe.  You might need to make this out of a piece of flexible material.  Simply bend it into a semicircle with a diameter that is about the same size as the semicircle dimension that was calculated for you above.  This will be plenty big for both the water and debris.  You might want to visit the gutter manufacturer web sites to get an idea of how they would size a downspout.</t>
  </si>
  <si>
    <t>http://www.hunterplastics.co.uk/rainwater/gutterdesign/default.html</t>
  </si>
  <si>
    <t>http://copper.org/applications/architecture/arch_dhb/gutters_downspouts/downspouts.html</t>
  </si>
  <si>
    <t>http://members.ozemail.com.au/~ksengs/DPcalc.html</t>
  </si>
  <si>
    <t>Most manufacturers recommend maximum gutter lengths before a downspout of 20 to 40 feet (you can have 20 to 40 feet on each side).  This will reduce problems with expansion, trash buildup in the gutter, maximum weight of the gutter when it gets full of rainwater, and is their rule of thumb given most manufacturers have fixed gutter widths that they are selling.  They also do this because they have little incentive to reduce the number of downspouts.  They are simply planning on dumping the water to the ground.  Our requirements are different because we need to collect it; hopefully in a single tank. You will be able to confidently size your gutter based on calculators in this spread sheet, but keep in mind that gutter runs in excess of about 40 feet are going to drop several inches from the roof edge giving the gutter a distinct "Water Harvesting" look.</t>
  </si>
  <si>
    <r>
      <t>Fourth:</t>
    </r>
    <r>
      <rPr>
        <sz val="10"/>
        <rFont val="Arial"/>
        <family val="2"/>
      </rPr>
      <t xml:space="preserve"> We'll discuss your downspout size, location and a few comments.</t>
    </r>
  </si>
  <si>
    <t xml:space="preserve"> 1 : </t>
  </si>
  <si>
    <t>Notice that as far as carrying the water is concerned in this example, you don't need much of a gutter width to get the job done (depending on the design you choose).  Also, due to the 0.5 degree slope, if you use a V trough gutter you can go 27.7 ft or 8.5 meters before you need a downspout (double that if you put the downspout in the middle of a run).  Areas Cc and Bb have a total length of only 25 ft or 7.6 m of connected gutter.  We can conclude that a V trough, 92 mm across the top will work fine for these combined areas. There is no need to do any " what-ifs ".  You can see the detail design below.</t>
  </si>
  <si>
    <t>The following are detailed gutter design drawings based on the data that you entered above.  They will automatically change as you enter data in the yellow boxes above.</t>
  </si>
  <si>
    <t>Caution:  Remember which width you chose above before you go any farther!   Was it green, purple, blue or violet?  You will need to ignore the other colored blocks.</t>
  </si>
  <si>
    <t>What-if values</t>
  </si>
  <si>
    <t>2.4 Gutter and Downspout Sizing and Location Calculations</t>
  </si>
  <si>
    <t>Both Metric and English units: Remember to save this spreadsheet to your own computer.</t>
  </si>
  <si>
    <t>We will present calculations for four common gutter designs; a semicircle, a V trough of which you can very the inside angle; a box (square trough), and a trapezoid.</t>
  </si>
  <si>
    <r>
      <t>First:</t>
    </r>
    <r>
      <rPr>
        <sz val="10"/>
        <rFont val="Arial"/>
        <family val="0"/>
      </rPr>
      <t xml:space="preserve"> We'll decide what area of the roof is applicable to the calculations.  This will dictate the amount of water that the gutter needs to be able to carry during the hardest rain storms.  As you proceed, keep in mind the different areas of your roof that you measured in section 2.2 Calculating your roof area for rainwater harvesting. 
</t>
    </r>
  </si>
  <si>
    <r>
      <t>First</t>
    </r>
    <r>
      <rPr>
        <b/>
        <sz val="10"/>
        <rFont val="Arial"/>
        <family val="2"/>
      </rPr>
      <t xml:space="preserve">: </t>
    </r>
    <r>
      <rPr>
        <sz val="10"/>
        <rFont val="Arial"/>
        <family val="0"/>
      </rPr>
      <t xml:space="preserve">Get the dimension of the roof areas that you want to gutter.  These are the areas that you calculated in section </t>
    </r>
    <r>
      <rPr>
        <i/>
        <sz val="10"/>
        <rFont val="Arial"/>
        <family val="2"/>
      </rPr>
      <t>2.2 Calculating your roof area for rainwater harvesting</t>
    </r>
    <r>
      <rPr>
        <sz val="10"/>
        <rFont val="Arial"/>
        <family val="0"/>
      </rPr>
      <t>.  We are going to assume that values are in feet and square feet.  As a reminder, the areas are Aa at 252 sq ft &amp; 33' long, Bb at 190 sq ft &amp; 15', Cc at 120 sq ft &amp; 10', and Dd at 245 sq ft &amp; 29'.</t>
    </r>
  </si>
  <si>
    <t>sq m</t>
  </si>
  <si>
    <t>Now decide on the material that the gutter will be made out of.  We need this information to establish a friction factor for our calculations.  You will find that the rougher the gutter material, the larger the gutter will need to be.  The default friction factor of 0.02 is entered for galvanized metal.  Simply select your friction factor from this table and  type over the 0.02 already entered in the yellow box.</t>
  </si>
  <si>
    <t>Material</t>
  </si>
  <si>
    <r>
      <t>Gutters need to slope to a downspout.  This keeps the rainwater moving faster so the leaves and dirt have less chance to build up.  It also reduces the chances of stagnant pools forming that will attract mosquitoes and other critter growth.  A good slope would be 0.5</t>
    </r>
    <r>
      <rPr>
        <vertAlign val="superscript"/>
        <sz val="10"/>
        <rFont val="Arial"/>
        <family val="2"/>
      </rPr>
      <t>O</t>
    </r>
    <r>
      <rPr>
        <sz val="10"/>
        <rFont val="Arial"/>
        <family val="0"/>
      </rPr>
      <t xml:space="preserve"> and it has been entered for you here.  However, this 0.5</t>
    </r>
    <r>
      <rPr>
        <vertAlign val="superscript"/>
        <sz val="10"/>
        <rFont val="Arial"/>
        <family val="2"/>
      </rPr>
      <t>O</t>
    </r>
    <r>
      <rPr>
        <sz val="10"/>
        <rFont val="Arial"/>
        <family val="0"/>
      </rPr>
      <t xml:space="preserve"> will not be consistent throughout the length of gutter.  Slope the first 2/3 of gutter length one-half the amount of the last third of gutter.  For example; we have entered a 0.5</t>
    </r>
    <r>
      <rPr>
        <vertAlign val="superscript"/>
        <sz val="10"/>
        <rFont val="Arial"/>
        <family val="2"/>
      </rPr>
      <t>O</t>
    </r>
    <r>
      <rPr>
        <sz val="10"/>
        <rFont val="Arial"/>
        <family val="0"/>
      </rPr>
      <t xml:space="preserve"> slope for the last 1/3 of gutter length here and you would install the first 2/3 of gutter at half that slope.  The slope is very important because it, and the gutter width, dictates how far you can go between downspouts.  If you went too far between downspouts, the gutter would be so far below the roof edge that the rainwater would overshoot the outside edge of the gutter.</t>
    </r>
  </si>
  <si>
    <r>
      <t xml:space="preserve">This is the minimum size of gutter that you will need for the </t>
    </r>
    <r>
      <rPr>
        <b/>
        <u val="single"/>
        <sz val="10"/>
        <rFont val="Arial"/>
        <family val="2"/>
      </rPr>
      <t>quantity of water</t>
    </r>
    <r>
      <rPr>
        <sz val="10"/>
        <rFont val="Arial"/>
        <family val="0"/>
      </rPr>
      <t xml:space="preserve"> that you will be collecting from this area(s) of roof.  If the Max Length to Downspout is too short for your house, use the calculator to the right to find the </t>
    </r>
  </si>
  <si>
    <t>Trapezoid</t>
  </si>
  <si>
    <r>
      <t>Before going any further, let's go back to the beginning and see what would happen if we chose a very long run of gutter.  Assume we connect areas Dd and Aa with one gutter.  The total area would be 245 + 252 = 497 sq ft.  The total length would be 29' + 33' = 62'.  Go back to cell G21 and type in 497.  Leave the slope at 0.5</t>
    </r>
    <r>
      <rPr>
        <vertAlign val="superscript"/>
        <sz val="10"/>
        <rFont val="Arial"/>
        <family val="2"/>
      </rPr>
      <t>O</t>
    </r>
    <r>
      <rPr>
        <sz val="10"/>
        <rFont val="Arial"/>
        <family val="0"/>
      </rPr>
      <t xml:space="preserve"> for now. You will immediately notice that the calculated V trough, minimum width is 111mm and you get 35.9 (10.9 m) before a downspout.  We need 62'.  You have several choices:</t>
    </r>
  </si>
  <si>
    <t>Leave the slope at 0.5 and use the " what-if " calculator to see what would happen with widths wider than 111 mm.  Try it.  Type in 111 mm in the yellow box at cell H54 and notice we get 35.7 feet to the downspout (just checking!).  Now type in 150 mm.  We get 63.9 feet.  We needed 62', so this would be a good width.  Go ahead and type in 150 for the other gutter designs.  You'll notice that they will all give you 63.9 feet to a downspout, but notice the total width of building material column.  If you made the gutter into a box, you would need more than twice the building material than if you made it into a V trough or Trapezoid!</t>
  </si>
  <si>
    <r>
      <t>My recommendation would be to put in one tank as shown in the example drawing: run the gutters at a 0.3</t>
    </r>
    <r>
      <rPr>
        <vertAlign val="superscript"/>
        <sz val="10"/>
        <rFont val="Arial"/>
        <family val="2"/>
      </rPr>
      <t>O</t>
    </r>
    <r>
      <rPr>
        <sz val="10"/>
        <rFont val="Arial"/>
        <family val="0"/>
      </rPr>
      <t xml:space="preserve"> slope; use a 90</t>
    </r>
    <r>
      <rPr>
        <vertAlign val="superscript"/>
        <sz val="10"/>
        <rFont val="Arial"/>
        <family val="2"/>
      </rPr>
      <t>O</t>
    </r>
    <r>
      <rPr>
        <sz val="10"/>
        <rFont val="Arial"/>
        <family val="0"/>
      </rPr>
      <t xml:space="preserve"> V trough design 125 mm (5") wide (or a 117 mm {4 1/2"} semicircle); make the gutter out of galvanized metal; connect areas D and A with one gutter; connect areas C and B with one gutter; then run two downspouts to the storage tank as shown on the house drawing.</t>
    </r>
  </si>
  <si>
    <t>V Trough top opening width</t>
  </si>
  <si>
    <t>Trapezoid inches</t>
  </si>
  <si>
    <t>Trapezoid mm</t>
  </si>
  <si>
    <r>
      <t>Some manufacturers recommend a gutter slope of only 0.1 degrees.  That's equivalent to about 1/2 inch of drop in 20 feet of length or about 1:500.  Metrically that's only 1 mm in 5 meters.  I would recommend you keep at least 0.3</t>
    </r>
    <r>
      <rPr>
        <vertAlign val="superscript"/>
        <sz val="10"/>
        <rFont val="Arial"/>
        <family val="2"/>
      </rPr>
      <t>O</t>
    </r>
    <r>
      <rPr>
        <sz val="10"/>
        <rFont val="Arial"/>
        <family val="0"/>
      </rPr>
      <t xml:space="preserve"> (about 1:200) to 0.5</t>
    </r>
    <r>
      <rPr>
        <vertAlign val="superscript"/>
        <sz val="10"/>
        <rFont val="Arial"/>
        <family val="2"/>
      </rPr>
      <t>O</t>
    </r>
    <r>
      <rPr>
        <sz val="10"/>
        <rFont val="Arial"/>
        <family val="0"/>
      </rPr>
      <t xml:space="preserve"> (about 1:115) for the last third of your gutter run, and half that for the first two-thirds.  </t>
    </r>
  </si>
  <si>
    <t>These are dimensions based on the Minimum Gutter Width needed to carry the water</t>
  </si>
  <si>
    <t>These are dimensions based on the larger gutter width needed for longer distances between downspouts</t>
  </si>
  <si>
    <r>
      <t>Second:</t>
    </r>
    <r>
      <rPr>
        <sz val="10"/>
        <rFont val="Arial"/>
        <family val="0"/>
      </rPr>
      <t xml:space="preserve"> Enter Data</t>
    </r>
  </si>
  <si>
    <t>total width of a flat piece of building material</t>
  </si>
  <si>
    <t>Total width of building material</t>
  </si>
  <si>
    <t>mm / meter</t>
  </si>
  <si>
    <t>in / yard</t>
  </si>
  <si>
    <t>slope the first 2/3 of gutter, farthest from the downspout</t>
  </si>
  <si>
    <t xml:space="preserve">slope the last 1/3 of gutter length just before the downspout </t>
  </si>
  <si>
    <r>
      <t>Type over the 0.5</t>
    </r>
    <r>
      <rPr>
        <vertAlign val="superscript"/>
        <sz val="10"/>
        <rFont val="Arial"/>
        <family val="2"/>
      </rPr>
      <t>O</t>
    </r>
    <r>
      <rPr>
        <sz val="10"/>
        <rFont val="Arial"/>
        <family val="0"/>
      </rPr>
      <t xml:space="preserve"> if you want to see how other slopes will perform here</t>
    </r>
  </si>
  <si>
    <t>The drop is calculated here for you</t>
  </si>
  <si>
    <t>You can change this inside angle of the V trough if you like.</t>
  </si>
  <si>
    <t>Possible friction factors to enter in the yellow cell below</t>
  </si>
  <si>
    <r>
      <t>Third:</t>
    </r>
    <r>
      <rPr>
        <sz val="10"/>
        <rFont val="Arial"/>
        <family val="0"/>
      </rPr>
      <t xml:space="preserve"> Increase gutter width if needed to increase distance between downspouts</t>
    </r>
  </si>
  <si>
    <r>
      <t>Minimum</t>
    </r>
    <r>
      <rPr>
        <sz val="10"/>
        <rFont val="Arial"/>
        <family val="0"/>
      </rPr>
      <t xml:space="preserve"> Top Opening Width</t>
    </r>
  </si>
  <si>
    <t>Your " What-If "
Max Length to Downspout</t>
  </si>
  <si>
    <t>First we will find the maximum amount of rain that will be captured in gallons per minute</t>
  </si>
  <si>
    <t xml:space="preserve">Assumed collection efficiency = </t>
  </si>
  <si>
    <t>Enter the plan area of your first roof section(s) in square feet here</t>
  </si>
  <si>
    <t>Relatively smooth wood</t>
  </si>
  <si>
    <t>Galvanized metal</t>
  </si>
  <si>
    <t>Very smooth material like plastic</t>
  </si>
  <si>
    <t>Semicircle width =</t>
  </si>
  <si>
    <t>V Trough inside wall length</t>
  </si>
  <si>
    <t>Note: Don't make this number too small, we are already assuming a 3/4 full gutter at its maximum depth.  This efficiency number is to take care of splash and gable losses.</t>
  </si>
  <si>
    <t>in</t>
  </si>
  <si>
    <t>Net gallons per minute  =</t>
  </si>
  <si>
    <t xml:space="preserve">Net liters per minute  = </t>
  </si>
  <si>
    <t xml:space="preserve">Gross Liters per minute  = </t>
  </si>
  <si>
    <t>Gross gallons per minute  =</t>
  </si>
  <si>
    <t>mm</t>
  </si>
  <si>
    <t>Rough, sandy, or bumpy material like bamboo, rough wood, or shingles</t>
  </si>
  <si>
    <t>mm/min</t>
  </si>
  <si>
    <r>
      <t>30</t>
    </r>
    <r>
      <rPr>
        <vertAlign val="superscript"/>
        <sz val="10"/>
        <rFont val="Arial"/>
        <family val="2"/>
      </rPr>
      <t>O</t>
    </r>
  </si>
  <si>
    <t>meters</t>
  </si>
  <si>
    <t>this is the width that is available for the rainwater to enter</t>
  </si>
  <si>
    <t>this is the width that is available for the rainwater to enter the gutter</t>
  </si>
  <si>
    <t>feet</t>
  </si>
  <si>
    <t>sq feet</t>
  </si>
  <si>
    <t>inches</t>
  </si>
  <si>
    <t>percent</t>
  </si>
  <si>
    <t>Subtracting 3/4" under the roof edge and 1/8" outside edge allowance</t>
  </si>
  <si>
    <t>degree</t>
  </si>
  <si>
    <t>Subtracting 20mm under the roof edge and 3mm outside edge allowance</t>
  </si>
  <si>
    <t>In Inches</t>
  </si>
  <si>
    <t>In mm</t>
  </si>
  <si>
    <t xml:space="preserve">Enter the friction factor from this list here --&gt; </t>
  </si>
  <si>
    <t>This assumes 4.7" per hour maximum rain intensity.</t>
  </si>
  <si>
    <r>
      <t xml:space="preserve">Maximum gutter drop before </t>
    </r>
    <r>
      <rPr>
        <sz val="10"/>
        <rFont val="Arial"/>
        <family val="2"/>
      </rPr>
      <t xml:space="preserve">any </t>
    </r>
    <r>
      <rPr>
        <sz val="10"/>
        <rFont val="Arial"/>
        <family val="0"/>
      </rPr>
      <t>downspout</t>
    </r>
  </si>
  <si>
    <r>
      <t xml:space="preserve">Maximum TOTAL gutter drop before </t>
    </r>
    <r>
      <rPr>
        <sz val="10"/>
        <rFont val="Arial"/>
        <family val="2"/>
      </rPr>
      <t xml:space="preserve">any </t>
    </r>
    <r>
      <rPr>
        <sz val="10"/>
        <rFont val="Arial"/>
        <family val="0"/>
      </rPr>
      <t>downspout</t>
    </r>
  </si>
  <si>
    <t>Maximum distance to first downspout</t>
  </si>
  <si>
    <t>total width of raw building material needed to make this gutter</t>
  </si>
  <si>
    <t>This assumes 2 mm per min maximum rain intensity.</t>
  </si>
  <si>
    <t xml:space="preserve">total mm width of raw building material needed to make this gutter </t>
  </si>
  <si>
    <t>total width of material =  If you are going to use something thick like wood, remember to add the thickness of the wood to one side length</t>
  </si>
  <si>
    <t>Maximum TOTAL gutter drop before any downspout</t>
  </si>
  <si>
    <t>Square box height and width</t>
  </si>
  <si>
    <t>total width of material =  If you are going to use something thick like wood, remember to add two times the thickness of the wood to the bottom length</t>
  </si>
  <si>
    <t>Square Box</t>
  </si>
  <si>
    <r>
      <t>With sides at 30</t>
    </r>
    <r>
      <rPr>
        <vertAlign val="superscript"/>
        <sz val="10"/>
        <rFont val="Arial"/>
        <family val="2"/>
      </rPr>
      <t>O</t>
    </r>
    <r>
      <rPr>
        <sz val="10"/>
        <rFont val="Arial"/>
        <family val="0"/>
      </rPr>
      <t xml:space="preserve"> the length of each side is </t>
    </r>
  </si>
  <si>
    <t>The width at the top is</t>
  </si>
  <si>
    <t>M</t>
  </si>
  <si>
    <t>ft</t>
  </si>
  <si>
    <t>Maximum gutter length to a downspout</t>
  </si>
  <si>
    <t>Subtracting 20mm for under the roof edge and 3mm outside edge allowance</t>
  </si>
  <si>
    <t>Subtracting 3/4" for under the roof edge and 1/8" outside edge allowance</t>
  </si>
  <si>
    <t>Don't forget that one downspout can have this length of gutter on both sides of it (put the downspout in the middle)</t>
  </si>
  <si>
    <t>Square Box inches</t>
  </si>
  <si>
    <t>Square Box mm</t>
  </si>
  <si>
    <t>Semicircle Gutter inches</t>
  </si>
  <si>
    <t>Semicircle Gutter mm</t>
  </si>
  <si>
    <t>V  Trough inches</t>
  </si>
  <si>
    <t>V  Trough mm</t>
  </si>
  <si>
    <t>Semi Circle inches</t>
  </si>
  <si>
    <t>degree V Trough</t>
  </si>
  <si>
    <t>Max Length to Downspout</t>
  </si>
  <si>
    <t>We will use the larger of the two or 310 sq ft for our first calculation.</t>
  </si>
  <si>
    <t>Enter the maximum rainfall intensity here in inches per hour. Use these default numbers if you can't find this data for your location.</t>
  </si>
  <si>
    <r>
      <t xml:space="preserve">This spread sheet will help you calculate the gutter width and maximum distance between downspouts based on your maximum rainfall, roof area, and style of gutter.  There are two major factors to consider when deciding a gutter design.  The first is to make it wide and deep enough to collect all of the rainwater during the hardest rainfall.  The second is to slope the gutter downward enough to allow good drainage and flow, but not so much that you drift so far below the edge of the roof that the water overshoots the gutter.  We will calculate both simultaneously for you.
</t>
    </r>
    <r>
      <rPr>
        <sz val="10"/>
        <rFont val="Arial"/>
        <family val="0"/>
      </rPr>
      <t xml:space="preserve">
</t>
    </r>
  </si>
  <si>
    <t>Results will be tabulated so that you can easily see results as you change variables.  Detail drawings and dimensions will follow the table for each of the gutter designs.</t>
  </si>
  <si>
    <r>
      <t>Second:</t>
    </r>
    <r>
      <rPr>
        <sz val="10"/>
        <rFont val="Arial"/>
        <family val="0"/>
      </rPr>
      <t xml:space="preserve"> We will enter data about your highest intensity of rainfall, followed by an assumed gutter efficiency, and finally the friction factor of the material that you will make your gutter out of.</t>
    </r>
  </si>
  <si>
    <r>
      <t>Third:</t>
    </r>
    <r>
      <rPr>
        <sz val="10"/>
        <rFont val="Arial"/>
        <family val="0"/>
      </rPr>
      <t xml:space="preserve"> If the distance between downspouts turns out to be too short for your home, we will let you enter trial gutter widths until the length, drop and width work well with each other.</t>
    </r>
  </si>
  <si>
    <t>We are going to assume that you want to make your gutters around your home, look the same as far as material of construction, width and design are concerned.  This allows us to size the gutters based on the longest length between downspouts.  Any shorter lengths of gutter will have no problem handling the water volume or the slope.  Pick the largest area to be drained between downspouts.  This will dictate the width of the gutter.  This isn't obvious in this example.  Section Aa is 33 feet long with an area of 252 sq ft, but notice that section Bb and Cc share the same gutter.  Their combined length is 25 ft and their combined area is 310 sq ft. We will need to do calculations on both areas to insure the right gutter size.</t>
  </si>
  <si>
    <t>inches/hr</t>
  </si>
  <si>
    <r>
      <t>Enter a " What-if "</t>
    </r>
    <r>
      <rPr>
        <sz val="10"/>
        <rFont val="Arial"/>
        <family val="0"/>
      </rPr>
      <t xml:space="preserve">
Top Opening Width in mm in the yellow boxes</t>
    </r>
  </si>
  <si>
    <r>
      <t xml:space="preserve">Enter </t>
    </r>
    <r>
      <rPr>
        <b/>
        <u val="single"/>
        <sz val="10"/>
        <rFont val="Arial"/>
        <family val="2"/>
      </rPr>
      <t>larger</t>
    </r>
    <r>
      <rPr>
        <sz val="10"/>
        <rFont val="Arial"/>
        <family val="2"/>
      </rPr>
      <t xml:space="preserve"> gutter widths i</t>
    </r>
    <r>
      <rPr>
        <sz val="10"/>
        <rFont val="Arial"/>
        <family val="0"/>
      </rPr>
      <t xml:space="preserve">n the yellow boxes to find out how wide your gutters need to be </t>
    </r>
    <r>
      <rPr>
        <b/>
        <u val="single"/>
        <sz val="10"/>
        <rFont val="Arial"/>
        <family val="2"/>
      </rPr>
      <t>given the length that you want to go between downspouts</t>
    </r>
    <r>
      <rPr>
        <sz val="10"/>
        <rFont val="Arial"/>
        <family val="0"/>
      </rPr>
      <t>.  Remember, two gutter lengths can share the same downspout, so if you calculate the max gutter to be 40 feet, you could put a downspout halfway in an 80 foot length.</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</si>
</sst>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0000"/>
    <numFmt numFmtId="166" formatCode="0.0000"/>
    <numFmt numFmtId="167" formatCode="0.000"/>
    <numFmt numFmtId="168" formatCode="0.0"/>
    <numFmt numFmtId="169" formatCode="0.0000000"/>
    <numFmt numFmtId="170" formatCode="#\ ?/8"/>
    <numFmt numFmtId="171" formatCode="&quot;Yes&quot;;&quot;Yes&quot;;&quot;No&quot;"/>
    <numFmt numFmtId="172" formatCode="&quot;True&quot;;&quot;True&quot;;&quot;False&quot;"/>
    <numFmt numFmtId="173" formatCode="&quot;On&quot;;&quot;On&quot;;&quot;Off&quot;"/>
    <numFmt numFmtId="174" formatCode="[$€-2]\ #,##0.00_);[Red]\([$€-2]\ #,##0.00\)"/>
    <numFmt numFmtId="175" formatCode="00000"/>
    <numFmt numFmtId="176" formatCode="#\ ??/16"/>
  </numFmts>
  <fonts count="10">
    <font>
      <sz val="10"/>
      <name val="Arial"/>
      <family val="0"/>
    </font>
    <font>
      <sz val="8"/>
      <name val="Arial"/>
      <family val="0"/>
    </font>
    <font>
      <vertAlign val="superscript"/>
      <sz val="10"/>
      <name val="Arial"/>
      <family val="2"/>
    </font>
    <font>
      <u val="single"/>
      <sz val="10"/>
      <color indexed="12"/>
      <name val="Arial"/>
      <family val="0"/>
    </font>
    <font>
      <b/>
      <u val="single"/>
      <sz val="10"/>
      <name val="Arial"/>
      <family val="2"/>
    </font>
    <font>
      <b/>
      <sz val="10"/>
      <name val="Arial"/>
      <family val="2"/>
    </font>
    <font>
      <sz val="10"/>
      <color indexed="10"/>
      <name val="Arial"/>
      <family val="0"/>
    </font>
    <font>
      <b/>
      <sz val="12"/>
      <name val="Arial"/>
      <family val="2"/>
    </font>
    <font>
      <i/>
      <sz val="10"/>
      <name val="Arial"/>
      <family val="2"/>
    </font>
    <font>
      <u val="single"/>
      <sz val="10"/>
      <color indexed="36"/>
      <name val="Arial"/>
      <family val="0"/>
    </font>
  </fonts>
  <fills count="9">
    <fill>
      <patternFill/>
    </fill>
    <fill>
      <patternFill patternType="gray125"/>
    </fill>
    <fill>
      <patternFill patternType="solid">
        <fgColor indexed="13"/>
        <bgColor indexed="64"/>
      </patternFill>
    </fill>
    <fill>
      <patternFill patternType="solid">
        <fgColor indexed="46"/>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indexed="47"/>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51">
    <xf numFmtId="0" fontId="0" fillId="0" borderId="0" xfId="0" applyAlignment="1">
      <alignment/>
    </xf>
    <xf numFmtId="0" fontId="0" fillId="0" borderId="0" xfId="0" applyAlignment="1">
      <alignment vertical="center" wrapText="1"/>
    </xf>
    <xf numFmtId="1" fontId="0" fillId="0" borderId="0" xfId="0" applyNumberFormat="1" applyFill="1" applyAlignment="1">
      <alignment horizontal="center" vertical="center" wrapText="1"/>
    </xf>
    <xf numFmtId="1" fontId="0" fillId="0" borderId="0" xfId="20" applyNumberFormat="1" applyFont="1" applyFill="1" applyAlignment="1">
      <alignment horizontal="center" vertical="center" wrapText="1"/>
    </xf>
    <xf numFmtId="0" fontId="6"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center" wrapText="1"/>
    </xf>
    <xf numFmtId="0" fontId="3" fillId="0" borderId="0" xfId="20" applyAlignment="1">
      <alignment vertical="center" wrapText="1"/>
    </xf>
    <xf numFmtId="0" fontId="6" fillId="0" borderId="0" xfId="0" applyFont="1" applyAlignment="1">
      <alignment vertical="top" wrapText="1"/>
    </xf>
    <xf numFmtId="0" fontId="0" fillId="0" borderId="0" xfId="0" applyAlignment="1">
      <alignment vertical="top" wrapText="1"/>
    </xf>
    <xf numFmtId="0" fontId="0" fillId="2" borderId="0" xfId="0" applyFill="1" applyAlignment="1" applyProtection="1">
      <alignment horizontal="center" vertical="center" wrapText="1"/>
      <protection locked="0"/>
    </xf>
    <xf numFmtId="168" fontId="0" fillId="2" borderId="0" xfId="0" applyNumberFormat="1" applyFont="1" applyFill="1" applyAlignment="1" applyProtection="1">
      <alignment horizontal="center" vertical="center" wrapText="1"/>
      <protection locked="0"/>
    </xf>
    <xf numFmtId="1" fontId="0" fillId="2" borderId="1" xfId="0" applyNumberFormat="1" applyFill="1" applyBorder="1" applyAlignment="1" applyProtection="1">
      <alignment horizontal="center" vertical="center" wrapText="1"/>
      <protection locked="0"/>
    </xf>
    <xf numFmtId="170" fontId="0" fillId="3" borderId="0" xfId="0" applyNumberFormat="1" applyFill="1" applyAlignment="1" applyProtection="1">
      <alignment horizontal="center" vertical="center" wrapText="1"/>
      <protection locked="0"/>
    </xf>
    <xf numFmtId="0" fontId="3" fillId="0" borderId="0" xfId="20" applyAlignment="1" applyProtection="1">
      <alignment vertical="top" wrapText="1"/>
      <protection locked="0"/>
    </xf>
    <xf numFmtId="0" fontId="7" fillId="0" borderId="0" xfId="0" applyFont="1" applyBorder="1" applyAlignment="1" applyProtection="1">
      <alignment horizontal="center" vertical="top" wrapText="1"/>
      <protection/>
    </xf>
    <xf numFmtId="0" fontId="5" fillId="0" borderId="0" xfId="0" applyFont="1" applyBorder="1" applyAlignment="1" applyProtection="1">
      <alignment vertical="top" wrapText="1"/>
      <protection/>
    </xf>
    <xf numFmtId="0" fontId="0" fillId="0" borderId="0" xfId="0" applyBorder="1" applyAlignment="1" applyProtection="1">
      <alignment vertical="center" wrapText="1"/>
      <protection/>
    </xf>
    <xf numFmtId="0" fontId="0" fillId="0" borderId="0" xfId="0" applyBorder="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center"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center" wrapText="1"/>
      <protection/>
    </xf>
    <xf numFmtId="0" fontId="0" fillId="2" borderId="0" xfId="0" applyFill="1" applyAlignment="1" applyProtection="1">
      <alignment horizontal="center" vertical="center" wrapText="1"/>
      <protection/>
    </xf>
    <xf numFmtId="168" fontId="0" fillId="0" borderId="0" xfId="0" applyNumberFormat="1" applyAlignment="1" applyProtection="1">
      <alignment vertical="center" wrapText="1"/>
      <protection/>
    </xf>
    <xf numFmtId="0" fontId="0" fillId="0" borderId="0" xfId="0" applyAlignment="1" applyProtection="1">
      <alignment horizontal="center" vertical="center" wrapText="1"/>
      <protection/>
    </xf>
    <xf numFmtId="0" fontId="0" fillId="0" borderId="0" xfId="0" applyFill="1" applyAlignment="1" applyProtection="1">
      <alignment horizontal="center" vertical="center" wrapText="1"/>
      <protection/>
    </xf>
    <xf numFmtId="0" fontId="0" fillId="0" borderId="0" xfId="0" applyFill="1" applyAlignment="1" applyProtection="1">
      <alignment vertical="center" wrapText="1"/>
      <protection/>
    </xf>
    <xf numFmtId="168" fontId="0" fillId="4" borderId="0" xfId="0" applyNumberFormat="1" applyFill="1" applyAlignment="1" applyProtection="1">
      <alignment horizontal="center" vertical="center" wrapText="1"/>
      <protection/>
    </xf>
    <xf numFmtId="1" fontId="0" fillId="5" borderId="0" xfId="0" applyNumberFormat="1" applyFill="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Alignment="1" applyProtection="1">
      <alignment wrapText="1"/>
      <protection/>
    </xf>
    <xf numFmtId="0" fontId="0" fillId="0" borderId="0" xfId="0" applyAlignment="1" applyProtection="1">
      <alignment horizontal="right" vertical="distributed" wrapText="1"/>
      <protection/>
    </xf>
    <xf numFmtId="0" fontId="0" fillId="0" borderId="0" xfId="0" applyAlignment="1" applyProtection="1">
      <alignment horizontal="right" vertical="distributed" wrapText="1"/>
      <protection/>
    </xf>
    <xf numFmtId="0" fontId="0" fillId="0" borderId="0" xfId="0" applyAlignment="1" applyProtection="1">
      <alignment horizontal="right" vertical="center" wrapText="1"/>
      <protection/>
    </xf>
    <xf numFmtId="0" fontId="0" fillId="0" borderId="0" xfId="0" applyAlignment="1" applyProtection="1">
      <alignment horizontal="left" vertical="top" wrapText="1"/>
      <protection/>
    </xf>
    <xf numFmtId="0" fontId="0" fillId="0" borderId="0" xfId="0" applyAlignment="1" applyProtection="1">
      <alignment horizontal="left" vertical="top" wrapText="1"/>
      <protection/>
    </xf>
    <xf numFmtId="0" fontId="0" fillId="0" borderId="0" xfId="0" applyAlignment="1" applyProtection="1">
      <alignment horizontal="left" vertical="distributed" wrapText="1"/>
      <protection/>
    </xf>
    <xf numFmtId="1" fontId="0" fillId="5" borderId="0" xfId="0" applyNumberFormat="1" applyFont="1" applyFill="1" applyAlignment="1" applyProtection="1">
      <alignment horizontal="center" vertical="center" wrapText="1"/>
      <protection/>
    </xf>
    <xf numFmtId="0" fontId="0" fillId="5" borderId="0" xfId="0" applyFill="1" applyAlignment="1" applyProtection="1">
      <alignment vertical="center" wrapText="1"/>
      <protection/>
    </xf>
    <xf numFmtId="176" fontId="0" fillId="4" borderId="0" xfId="0" applyNumberFormat="1" applyFont="1" applyFill="1" applyAlignment="1" applyProtection="1">
      <alignment horizontal="center" vertical="center" wrapText="1"/>
      <protection/>
    </xf>
    <xf numFmtId="0" fontId="0" fillId="4" borderId="0" xfId="0" applyFill="1" applyAlignment="1" applyProtection="1">
      <alignment vertical="center" wrapText="1"/>
      <protection/>
    </xf>
    <xf numFmtId="20" fontId="0" fillId="6" borderId="0" xfId="0" applyNumberFormat="1" applyFill="1" applyAlignment="1" applyProtection="1">
      <alignment horizontal="right" vertical="center" wrapText="1"/>
      <protection/>
    </xf>
    <xf numFmtId="1" fontId="0" fillId="6" borderId="0" xfId="0" applyNumberFormat="1" applyFill="1" applyAlignment="1" applyProtection="1">
      <alignment horizontal="left" vertical="center" wrapText="1"/>
      <protection/>
    </xf>
    <xf numFmtId="0" fontId="0" fillId="0" borderId="0" xfId="0" applyAlignment="1" applyProtection="1">
      <alignment horizontal="left" wrapText="1"/>
      <protection/>
    </xf>
    <xf numFmtId="0" fontId="0" fillId="4" borderId="0" xfId="0" applyFill="1" applyAlignment="1" applyProtection="1">
      <alignment horizontal="center" wrapText="1"/>
      <protection/>
    </xf>
    <xf numFmtId="0" fontId="0" fillId="7" borderId="0" xfId="0" applyFill="1" applyAlignment="1" applyProtection="1">
      <alignment horizontal="center" vertical="top" wrapText="1"/>
      <protection/>
    </xf>
    <xf numFmtId="0" fontId="5" fillId="4" borderId="0" xfId="0" applyFont="1" applyFill="1" applyAlignment="1" applyProtection="1">
      <alignment horizontal="center" vertical="center" wrapText="1"/>
      <protection/>
    </xf>
    <xf numFmtId="0" fontId="0" fillId="4" borderId="0" xfId="0" applyFill="1" applyAlignment="1" applyProtection="1">
      <alignment horizontal="center" vertical="center" wrapText="1"/>
      <protection/>
    </xf>
    <xf numFmtId="0" fontId="0" fillId="7" borderId="0" xfId="0" applyFont="1" applyFill="1" applyAlignment="1" applyProtection="1">
      <alignment horizontal="center" vertical="center" wrapText="1"/>
      <protection/>
    </xf>
    <xf numFmtId="0" fontId="0" fillId="7" borderId="0" xfId="0" applyFill="1" applyAlignment="1" applyProtection="1">
      <alignment vertical="center" wrapText="1"/>
      <protection/>
    </xf>
    <xf numFmtId="0" fontId="0" fillId="7" borderId="0" xfId="0" applyFont="1" applyFill="1" applyAlignment="1" applyProtection="1">
      <alignment horizontal="center" vertical="center" wrapText="1"/>
      <protection/>
    </xf>
    <xf numFmtId="0" fontId="0" fillId="7" borderId="0" xfId="0" applyFont="1" applyFill="1" applyAlignment="1" applyProtection="1">
      <alignment horizontal="center" vertical="center" wrapText="1"/>
      <protection/>
    </xf>
    <xf numFmtId="0" fontId="0" fillId="4" borderId="0" xfId="0" applyFill="1" applyAlignment="1" applyProtection="1">
      <alignment horizontal="center" vertical="center" wrapText="1"/>
      <protection/>
    </xf>
    <xf numFmtId="0" fontId="0" fillId="5" borderId="0" xfId="0" applyFill="1" applyAlignment="1" applyProtection="1">
      <alignment horizontal="center" vertical="center" wrapText="1"/>
      <protection/>
    </xf>
    <xf numFmtId="0" fontId="0" fillId="3" borderId="0" xfId="0" applyFill="1" applyAlignment="1" applyProtection="1">
      <alignment horizontal="center" vertical="center" wrapText="1"/>
      <protection/>
    </xf>
    <xf numFmtId="0" fontId="0" fillId="6" borderId="0" xfId="0" applyFill="1" applyAlignment="1" applyProtection="1">
      <alignment vertical="center" wrapText="1"/>
      <protection/>
    </xf>
    <xf numFmtId="0" fontId="6" fillId="7" borderId="0" xfId="0" applyFont="1" applyFill="1" applyAlignment="1" applyProtection="1">
      <alignment vertical="top" wrapText="1"/>
      <protection/>
    </xf>
    <xf numFmtId="0" fontId="0" fillId="8" borderId="0" xfId="0" applyFont="1" applyFill="1" applyAlignment="1" applyProtection="1">
      <alignment horizontal="center" vertical="top" wrapText="1"/>
      <protection/>
    </xf>
    <xf numFmtId="170" fontId="0" fillId="4" borderId="0" xfId="0" applyNumberFormat="1" applyFill="1" applyAlignment="1" applyProtection="1">
      <alignment horizontal="center" vertical="center" wrapText="1"/>
      <protection/>
    </xf>
    <xf numFmtId="168" fontId="0" fillId="5" borderId="0" xfId="0" applyNumberFormat="1" applyFill="1" applyAlignment="1" applyProtection="1">
      <alignment horizontal="center" vertical="center" wrapText="1"/>
      <protection/>
    </xf>
    <xf numFmtId="170" fontId="0" fillId="3" borderId="0" xfId="0" applyNumberFormat="1" applyFill="1" applyAlignment="1" applyProtection="1">
      <alignment horizontal="center" vertical="center" wrapText="1"/>
      <protection/>
    </xf>
    <xf numFmtId="168" fontId="0" fillId="6" borderId="0" xfId="0" applyNumberFormat="1" applyFill="1" applyAlignment="1" applyProtection="1">
      <alignment horizontal="center" vertical="center" wrapText="1"/>
      <protection/>
    </xf>
    <xf numFmtId="168" fontId="0" fillId="3" borderId="0" xfId="20" applyNumberFormat="1" applyFont="1" applyFill="1" applyAlignment="1" applyProtection="1">
      <alignment horizontal="center" vertical="center" wrapText="1"/>
      <protection/>
    </xf>
    <xf numFmtId="1" fontId="0" fillId="8" borderId="0" xfId="0" applyNumberFormat="1" applyFont="1" applyFill="1" applyAlignment="1" applyProtection="1">
      <alignment horizontal="center" vertical="top" wrapText="1"/>
      <protection/>
    </xf>
    <xf numFmtId="0" fontId="0" fillId="0" borderId="0" xfId="0" applyAlignment="1" applyProtection="1">
      <alignment horizontal="left" vertical="center" wrapText="1"/>
      <protection/>
    </xf>
    <xf numFmtId="0" fontId="0" fillId="0" borderId="0" xfId="0" applyAlignment="1" applyProtection="1">
      <alignment horizontal="left" vertical="center" wrapText="1"/>
      <protection/>
    </xf>
    <xf numFmtId="170" fontId="0" fillId="0" borderId="0" xfId="0" applyNumberFormat="1" applyFill="1" applyAlignment="1" applyProtection="1">
      <alignment horizontal="center" vertical="center" wrapText="1"/>
      <protection/>
    </xf>
    <xf numFmtId="1" fontId="0" fillId="0" borderId="0" xfId="0" applyNumberFormat="1" applyFill="1" applyAlignment="1" applyProtection="1">
      <alignment horizontal="center" vertical="center" wrapText="1"/>
      <protection/>
    </xf>
    <xf numFmtId="168" fontId="0" fillId="0" borderId="0" xfId="0" applyNumberFormat="1" applyFill="1" applyAlignment="1" applyProtection="1">
      <alignment horizontal="center" vertical="center" wrapText="1"/>
      <protection/>
    </xf>
    <xf numFmtId="1" fontId="0" fillId="0" borderId="0" xfId="0" applyNumberFormat="1" applyFill="1" applyBorder="1" applyAlignment="1" applyProtection="1">
      <alignment horizontal="center" vertical="center" wrapText="1"/>
      <protection/>
    </xf>
    <xf numFmtId="168" fontId="0" fillId="0" borderId="0" xfId="20" applyNumberFormat="1" applyFont="1" applyFill="1" applyAlignment="1" applyProtection="1">
      <alignment horizontal="center" vertical="center" wrapText="1"/>
      <protection/>
    </xf>
    <xf numFmtId="0" fontId="6" fillId="0" borderId="0" xfId="0" applyFont="1" applyFill="1" applyAlignment="1" applyProtection="1">
      <alignment vertical="top" wrapText="1"/>
      <protection/>
    </xf>
    <xf numFmtId="0" fontId="7" fillId="0" borderId="0" xfId="0" applyFont="1" applyAlignment="1" applyProtection="1">
      <alignment horizontal="left" vertical="distributed" wrapText="1"/>
      <protection/>
    </xf>
    <xf numFmtId="0" fontId="6" fillId="0" borderId="0" xfId="0" applyFont="1" applyAlignment="1" applyProtection="1">
      <alignment vertical="top" wrapText="1"/>
      <protection/>
    </xf>
    <xf numFmtId="0" fontId="0" fillId="0" borderId="0" xfId="0" applyFill="1" applyAlignment="1" applyProtection="1">
      <alignment vertical="top" wrapText="1"/>
      <protection/>
    </xf>
    <xf numFmtId="0" fontId="5" fillId="0" borderId="0" xfId="0" applyFont="1" applyAlignment="1" applyProtection="1">
      <alignment vertical="center" wrapText="1"/>
      <protection/>
    </xf>
    <xf numFmtId="0" fontId="0" fillId="6" borderId="0" xfId="0" applyFill="1" applyAlignment="1" applyProtection="1">
      <alignment vertical="center" wrapText="1"/>
      <protection/>
    </xf>
    <xf numFmtId="0" fontId="0" fillId="4" borderId="0" xfId="0" applyFill="1" applyAlignment="1" applyProtection="1">
      <alignment horizontal="left" vertical="center" wrapText="1"/>
      <protection/>
    </xf>
    <xf numFmtId="0" fontId="4" fillId="4" borderId="0" xfId="0" applyFont="1" applyFill="1" applyAlignment="1" applyProtection="1">
      <alignment horizontal="left" vertical="center" wrapText="1"/>
      <protection/>
    </xf>
    <xf numFmtId="0" fontId="5" fillId="3" borderId="0" xfId="0" applyFont="1" applyFill="1" applyAlignment="1" applyProtection="1">
      <alignment horizontal="left" vertical="top" wrapText="1"/>
      <protection/>
    </xf>
    <xf numFmtId="0" fontId="0" fillId="3" borderId="0" xfId="0" applyFont="1" applyFill="1" applyAlignment="1" applyProtection="1">
      <alignment horizontal="left" vertical="top" wrapText="1"/>
      <protection/>
    </xf>
    <xf numFmtId="0" fontId="0" fillId="4" borderId="0" xfId="0" applyFill="1" applyAlignment="1" applyProtection="1">
      <alignment horizontal="right" vertical="center" wrapText="1"/>
      <protection/>
    </xf>
    <xf numFmtId="170" fontId="0" fillId="3" borderId="0" xfId="0" applyNumberFormat="1" applyFill="1" applyAlignment="1" applyProtection="1">
      <alignment vertical="center" wrapText="1"/>
      <protection/>
    </xf>
    <xf numFmtId="170" fontId="0" fillId="3" borderId="0" xfId="0" applyNumberFormat="1" applyFill="1" applyAlignment="1" applyProtection="1">
      <alignment horizontal="left" vertical="center" wrapText="1"/>
      <protection/>
    </xf>
    <xf numFmtId="0" fontId="5" fillId="4" borderId="0" xfId="0" applyFont="1" applyFill="1" applyAlignment="1" applyProtection="1">
      <alignment horizontal="center" wrapText="1"/>
      <protection/>
    </xf>
    <xf numFmtId="0" fontId="0" fillId="4" borderId="0" xfId="0" applyFill="1" applyAlignment="1" applyProtection="1">
      <alignment vertical="center" wrapText="1"/>
      <protection/>
    </xf>
    <xf numFmtId="170" fontId="0" fillId="3" borderId="0" xfId="0" applyNumberFormat="1" applyFill="1" applyAlignment="1" applyProtection="1">
      <alignment horizontal="right" vertical="center" wrapText="1"/>
      <protection/>
    </xf>
    <xf numFmtId="0" fontId="0" fillId="8" borderId="0" xfId="0" applyFill="1" applyAlignment="1" applyProtection="1">
      <alignment horizontal="right" wrapText="1"/>
      <protection/>
    </xf>
    <xf numFmtId="1" fontId="0" fillId="4" borderId="0" xfId="0" applyNumberFormat="1" applyFill="1" applyAlignment="1" applyProtection="1">
      <alignment horizontal="left" vertical="center" wrapText="1"/>
      <protection/>
    </xf>
    <xf numFmtId="168" fontId="0" fillId="4" borderId="0" xfId="20" applyNumberFormat="1" applyFont="1" applyFill="1" applyAlignment="1" applyProtection="1">
      <alignment horizontal="center" vertical="center" wrapText="1"/>
      <protection/>
    </xf>
    <xf numFmtId="168" fontId="0" fillId="3" borderId="0" xfId="0" applyNumberFormat="1" applyFill="1" applyAlignment="1" applyProtection="1">
      <alignment vertical="center" wrapText="1"/>
      <protection/>
    </xf>
    <xf numFmtId="170" fontId="0" fillId="3" borderId="0" xfId="20" applyNumberFormat="1" applyFont="1" applyFill="1" applyAlignment="1" applyProtection="1">
      <alignment horizontal="left" vertical="center" wrapText="1"/>
      <protection/>
    </xf>
    <xf numFmtId="1" fontId="0" fillId="0" borderId="0" xfId="0" applyNumberFormat="1" applyFill="1" applyAlignment="1" applyProtection="1">
      <alignment horizontal="left" vertical="center" wrapText="1"/>
      <protection/>
    </xf>
    <xf numFmtId="1" fontId="0" fillId="0" borderId="0" xfId="20" applyNumberFormat="1" applyFont="1" applyFill="1" applyAlignment="1" applyProtection="1">
      <alignment horizontal="center" vertical="center" wrapText="1"/>
      <protection/>
    </xf>
    <xf numFmtId="0" fontId="4" fillId="5" borderId="0" xfId="0" applyFont="1" applyFill="1" applyAlignment="1" applyProtection="1">
      <alignment vertical="center" wrapText="1"/>
      <protection/>
    </xf>
    <xf numFmtId="0" fontId="5" fillId="6" borderId="0" xfId="0" applyFont="1" applyFill="1" applyAlignment="1" applyProtection="1">
      <alignment horizontal="left" vertical="top" wrapText="1"/>
      <protection/>
    </xf>
    <xf numFmtId="0" fontId="0" fillId="6" borderId="0" xfId="0" applyFont="1" applyFill="1" applyAlignment="1" applyProtection="1">
      <alignment horizontal="left" vertical="top" wrapText="1"/>
      <protection/>
    </xf>
    <xf numFmtId="0" fontId="0" fillId="5" borderId="0" xfId="0" applyFill="1" applyAlignment="1" applyProtection="1">
      <alignment horizontal="center" vertical="center" wrapText="1"/>
      <protection/>
    </xf>
    <xf numFmtId="0" fontId="0" fillId="5" borderId="0" xfId="0" applyFill="1" applyAlignment="1" applyProtection="1">
      <alignment horizontal="right" vertical="center" wrapText="1"/>
      <protection/>
    </xf>
    <xf numFmtId="166" fontId="0" fillId="0" borderId="0" xfId="0" applyNumberFormat="1" applyAlignment="1" applyProtection="1">
      <alignment vertical="center" wrapText="1"/>
      <protection/>
    </xf>
    <xf numFmtId="1" fontId="0" fillId="6" borderId="0" xfId="0" applyNumberFormat="1" applyFill="1" applyAlignment="1" applyProtection="1">
      <alignment horizontal="right" vertical="center" wrapText="1"/>
      <protection/>
    </xf>
    <xf numFmtId="1" fontId="0" fillId="6" borderId="0" xfId="0" applyNumberFormat="1" applyFill="1" applyAlignment="1" applyProtection="1">
      <alignment horizontal="center" vertical="center" wrapText="1"/>
      <protection/>
    </xf>
    <xf numFmtId="0" fontId="5" fillId="5" borderId="0" xfId="0" applyFont="1" applyFill="1" applyAlignment="1" applyProtection="1">
      <alignment horizontal="center" wrapText="1"/>
      <protection/>
    </xf>
    <xf numFmtId="0" fontId="0" fillId="5" borderId="0" xfId="0" applyFill="1" applyAlignment="1" applyProtection="1">
      <alignment vertical="center" wrapText="1"/>
      <protection/>
    </xf>
    <xf numFmtId="1" fontId="0" fillId="5" borderId="0" xfId="20" applyNumberFormat="1" applyFont="1" applyFill="1" applyAlignment="1" applyProtection="1">
      <alignment horizontal="center" vertical="center" wrapText="1"/>
      <protection/>
    </xf>
    <xf numFmtId="1" fontId="0" fillId="6" borderId="0" xfId="20" applyNumberFormat="1" applyFont="1" applyFill="1" applyAlignment="1" applyProtection="1">
      <alignment horizontal="right" vertical="center" wrapText="1"/>
      <protection/>
    </xf>
    <xf numFmtId="1" fontId="0" fillId="5" borderId="0" xfId="0" applyNumberFormat="1" applyFill="1" applyAlignment="1" applyProtection="1">
      <alignment horizontal="left" vertical="center" wrapText="1"/>
      <protection/>
    </xf>
    <xf numFmtId="168" fontId="0" fillId="6" borderId="0" xfId="0" applyNumberFormat="1" applyFill="1" applyAlignment="1" applyProtection="1">
      <alignment horizontal="right" vertical="center" wrapText="1"/>
      <protection/>
    </xf>
    <xf numFmtId="0" fontId="5" fillId="3" borderId="0" xfId="0" applyFont="1" applyFill="1" applyAlignment="1" applyProtection="1">
      <alignment horizontal="left" vertical="center" wrapText="1"/>
      <protection/>
    </xf>
    <xf numFmtId="0" fontId="0" fillId="4" borderId="0" xfId="0" applyFill="1" applyAlignment="1" applyProtection="1">
      <alignment horizontal="right" vertical="top" wrapText="1"/>
      <protection/>
    </xf>
    <xf numFmtId="170" fontId="0" fillId="3" borderId="0" xfId="0" applyNumberFormat="1" applyFont="1" applyFill="1" applyAlignment="1" applyProtection="1">
      <alignment horizontal="center" vertical="top" wrapText="1"/>
      <protection/>
    </xf>
    <xf numFmtId="0" fontId="0" fillId="3" borderId="0" xfId="0" applyFont="1" applyFill="1" applyAlignment="1" applyProtection="1">
      <alignment vertical="center" wrapText="1"/>
      <protection/>
    </xf>
    <xf numFmtId="0" fontId="5" fillId="4" borderId="0" xfId="0" applyFont="1" applyFill="1" applyAlignment="1" applyProtection="1">
      <alignment horizontal="center" vertical="top" wrapText="1"/>
      <protection/>
    </xf>
    <xf numFmtId="0" fontId="0" fillId="8" borderId="0" xfId="0" applyFont="1" applyFill="1" applyAlignment="1" applyProtection="1">
      <alignment horizontal="right" vertical="center" wrapText="1"/>
      <protection/>
    </xf>
    <xf numFmtId="0" fontId="0" fillId="0" borderId="0" xfId="0" applyFill="1" applyAlignment="1" applyProtection="1">
      <alignment horizontal="right" vertical="center" wrapText="1"/>
      <protection/>
    </xf>
    <xf numFmtId="0" fontId="0" fillId="0" borderId="0" xfId="0" applyFont="1" applyAlignment="1" applyProtection="1">
      <alignment vertical="top" wrapText="1"/>
      <protection/>
    </xf>
    <xf numFmtId="168" fontId="5" fillId="6" borderId="0" xfId="0" applyNumberFormat="1" applyFont="1" applyFill="1" applyAlignment="1" applyProtection="1">
      <alignment horizontal="left" vertical="center" wrapText="1"/>
      <protection/>
    </xf>
    <xf numFmtId="1" fontId="0" fillId="6" borderId="0" xfId="0" applyNumberFormat="1" applyFill="1" applyAlignment="1" applyProtection="1">
      <alignment vertical="center" wrapText="1"/>
      <protection/>
    </xf>
    <xf numFmtId="1" fontId="0" fillId="6" borderId="0" xfId="0" applyNumberFormat="1" applyFont="1" applyFill="1" applyAlignment="1" applyProtection="1">
      <alignment horizontal="center" vertical="center" wrapText="1"/>
      <protection/>
    </xf>
    <xf numFmtId="0" fontId="0" fillId="6" borderId="0" xfId="0" applyFont="1" applyFill="1" applyAlignment="1" applyProtection="1">
      <alignment vertical="center" wrapText="1"/>
      <protection/>
    </xf>
    <xf numFmtId="0" fontId="5" fillId="5" borderId="0" xfId="0" applyFont="1" applyFill="1" applyAlignment="1" applyProtection="1">
      <alignment horizontal="center" vertical="top" wrapText="1"/>
      <protection/>
    </xf>
    <xf numFmtId="1" fontId="0" fillId="6" borderId="0" xfId="20" applyNumberFormat="1" applyFont="1" applyFill="1" applyAlignment="1" applyProtection="1">
      <alignment horizontal="center" vertical="center" wrapText="1"/>
      <protection/>
    </xf>
    <xf numFmtId="170" fontId="0" fillId="3" borderId="0" xfId="0" applyNumberFormat="1" applyFont="1" applyFill="1" applyAlignment="1" applyProtection="1">
      <alignment vertical="top" wrapText="1"/>
      <protection/>
    </xf>
    <xf numFmtId="170" fontId="0" fillId="4" borderId="0" xfId="0" applyNumberFormat="1" applyFill="1" applyAlignment="1" applyProtection="1">
      <alignment horizontal="center" wrapText="1"/>
      <protection/>
    </xf>
    <xf numFmtId="0" fontId="0" fillId="4" borderId="0" xfId="0" applyFill="1" applyAlignment="1" applyProtection="1">
      <alignment wrapText="1"/>
      <protection/>
    </xf>
    <xf numFmtId="0" fontId="0" fillId="3" borderId="0" xfId="0" applyFont="1" applyFill="1" applyAlignment="1" applyProtection="1">
      <alignment vertical="top" wrapText="1"/>
      <protection/>
    </xf>
    <xf numFmtId="0" fontId="0" fillId="5" borderId="0" xfId="0" applyFill="1" applyAlignment="1" applyProtection="1">
      <alignment horizontal="right" vertical="center" wrapText="1"/>
      <protection/>
    </xf>
    <xf numFmtId="0" fontId="0" fillId="5" borderId="0" xfId="0" applyFill="1" applyAlignment="1" applyProtection="1">
      <alignment horizontal="right" vertical="top" wrapText="1"/>
      <protection/>
    </xf>
    <xf numFmtId="0" fontId="0" fillId="6" borderId="0" xfId="0" applyFont="1" applyFill="1" applyAlignment="1" applyProtection="1">
      <alignment horizontal="center" vertical="center" wrapText="1"/>
      <protection/>
    </xf>
    <xf numFmtId="1" fontId="0" fillId="5" borderId="0" xfId="0" applyNumberFormat="1" applyFill="1" applyAlignment="1" applyProtection="1">
      <alignment horizontal="center" wrapText="1"/>
      <protection/>
    </xf>
    <xf numFmtId="0" fontId="5" fillId="5" borderId="0" xfId="0" applyFont="1" applyFill="1" applyAlignment="1" applyProtection="1">
      <alignment horizontal="center" vertical="center" wrapText="1"/>
      <protection/>
    </xf>
    <xf numFmtId="0" fontId="0" fillId="0" borderId="0" xfId="0" applyFont="1" applyAlignment="1" applyProtection="1">
      <alignment vertical="center" wrapText="1"/>
      <protection/>
    </xf>
    <xf numFmtId="170" fontId="0" fillId="4" borderId="0" xfId="0" applyNumberFormat="1" applyFill="1" applyAlignment="1" applyProtection="1">
      <alignment horizontal="center" vertical="top" wrapText="1"/>
      <protection/>
    </xf>
    <xf numFmtId="170" fontId="0" fillId="3" borderId="0" xfId="0" applyNumberFormat="1" applyFont="1" applyFill="1" applyAlignment="1" applyProtection="1">
      <alignment horizontal="right" vertical="center" wrapText="1"/>
      <protection/>
    </xf>
    <xf numFmtId="170" fontId="0" fillId="3" borderId="0" xfId="0" applyNumberFormat="1" applyFont="1" applyFill="1" applyAlignment="1" applyProtection="1">
      <alignment horizontal="left" vertical="center" wrapText="1"/>
      <protection/>
    </xf>
    <xf numFmtId="170" fontId="0" fillId="3" borderId="0" xfId="0" applyNumberFormat="1" applyFont="1" applyFill="1" applyAlignment="1" applyProtection="1">
      <alignment horizontal="center" vertical="center" wrapText="1"/>
      <protection/>
    </xf>
    <xf numFmtId="170" fontId="0" fillId="4" borderId="0" xfId="0" applyNumberFormat="1" applyFill="1" applyAlignment="1" applyProtection="1">
      <alignment horizontal="left" vertical="center" wrapText="1"/>
      <protection/>
    </xf>
    <xf numFmtId="0" fontId="0" fillId="4" borderId="0" xfId="0" applyFont="1" applyFill="1" applyAlignment="1" applyProtection="1">
      <alignment horizontal="right" vertical="center" wrapText="1"/>
      <protection/>
    </xf>
    <xf numFmtId="170" fontId="0" fillId="4" borderId="0" xfId="0" applyNumberFormat="1" applyFill="1" applyAlignment="1" applyProtection="1">
      <alignment horizontal="right" vertical="center" wrapText="1"/>
      <protection/>
    </xf>
    <xf numFmtId="168" fontId="0" fillId="3" borderId="0" xfId="0" applyNumberFormat="1" applyFont="1" applyFill="1" applyAlignment="1" applyProtection="1">
      <alignment vertical="center" wrapText="1"/>
      <protection/>
    </xf>
    <xf numFmtId="1" fontId="0" fillId="6" borderId="0" xfId="0" applyNumberFormat="1" applyFont="1" applyFill="1" applyAlignment="1" applyProtection="1">
      <alignment vertical="center" wrapText="1"/>
      <protection/>
    </xf>
    <xf numFmtId="1" fontId="0" fillId="6" borderId="0" xfId="0" applyNumberFormat="1" applyFont="1" applyFill="1" applyAlignment="1" applyProtection="1">
      <alignment horizontal="left" vertical="center" wrapText="1"/>
      <protection/>
    </xf>
    <xf numFmtId="1" fontId="0" fillId="5" borderId="0" xfId="0" applyNumberFormat="1" applyFill="1" applyAlignment="1" applyProtection="1">
      <alignment horizontal="left" vertical="center" wrapText="1"/>
      <protection/>
    </xf>
    <xf numFmtId="1" fontId="0" fillId="5" borderId="0" xfId="0" applyNumberFormat="1" applyFill="1" applyAlignment="1" applyProtection="1">
      <alignment horizontal="right" vertical="center" wrapText="1"/>
      <protection/>
    </xf>
    <xf numFmtId="1" fontId="0" fillId="6" borderId="0" xfId="0" applyNumberFormat="1" applyFont="1" applyFill="1" applyAlignment="1" applyProtection="1">
      <alignment horizontal="right" vertical="center" wrapText="1"/>
      <protection/>
    </xf>
    <xf numFmtId="1" fontId="0" fillId="5" borderId="0" xfId="0" applyNumberFormat="1" applyFill="1" applyAlignment="1" applyProtection="1">
      <alignment horizontal="center" vertical="top" wrapText="1"/>
      <protection/>
    </xf>
    <xf numFmtId="166" fontId="0" fillId="5" borderId="0" xfId="0" applyNumberFormat="1" applyFill="1" applyAlignment="1" applyProtection="1">
      <alignment vertical="center" wrapText="1"/>
      <protection/>
    </xf>
    <xf numFmtId="0" fontId="7" fillId="0" borderId="0" xfId="0" applyFont="1" applyAlignment="1" applyProtection="1">
      <alignment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122</xdr:row>
      <xdr:rowOff>771525</xdr:rowOff>
    </xdr:from>
    <xdr:to>
      <xdr:col>2</xdr:col>
      <xdr:colOff>104775</xdr:colOff>
      <xdr:row>122</xdr:row>
      <xdr:rowOff>771525</xdr:rowOff>
    </xdr:to>
    <xdr:sp>
      <xdr:nvSpPr>
        <xdr:cNvPr id="1" name="Line 17"/>
        <xdr:cNvSpPr>
          <a:spLocks/>
        </xdr:cNvSpPr>
      </xdr:nvSpPr>
      <xdr:spPr>
        <a:xfrm>
          <a:off x="619125" y="42491025"/>
          <a:ext cx="70485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122</xdr:row>
      <xdr:rowOff>9525</xdr:rowOff>
    </xdr:from>
    <xdr:to>
      <xdr:col>2</xdr:col>
      <xdr:colOff>457200</xdr:colOff>
      <xdr:row>122</xdr:row>
      <xdr:rowOff>771525</xdr:rowOff>
    </xdr:to>
    <xdr:sp>
      <xdr:nvSpPr>
        <xdr:cNvPr id="2" name="Line 18"/>
        <xdr:cNvSpPr>
          <a:spLocks/>
        </xdr:cNvSpPr>
      </xdr:nvSpPr>
      <xdr:spPr>
        <a:xfrm flipV="1">
          <a:off x="1323975" y="41729025"/>
          <a:ext cx="352425" cy="7620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122</xdr:row>
      <xdr:rowOff>9525</xdr:rowOff>
    </xdr:from>
    <xdr:to>
      <xdr:col>1</xdr:col>
      <xdr:colOff>9525</xdr:colOff>
      <xdr:row>122</xdr:row>
      <xdr:rowOff>771525</xdr:rowOff>
    </xdr:to>
    <xdr:sp>
      <xdr:nvSpPr>
        <xdr:cNvPr id="3" name="Line 20"/>
        <xdr:cNvSpPr>
          <a:spLocks/>
        </xdr:cNvSpPr>
      </xdr:nvSpPr>
      <xdr:spPr>
        <a:xfrm flipH="1" flipV="1">
          <a:off x="314325" y="41729025"/>
          <a:ext cx="304800" cy="7620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122</xdr:row>
      <xdr:rowOff>866775</xdr:rowOff>
    </xdr:from>
    <xdr:to>
      <xdr:col>2</xdr:col>
      <xdr:colOff>114300</xdr:colOff>
      <xdr:row>122</xdr:row>
      <xdr:rowOff>866775</xdr:rowOff>
    </xdr:to>
    <xdr:sp>
      <xdr:nvSpPr>
        <xdr:cNvPr id="4" name="Line 22"/>
        <xdr:cNvSpPr>
          <a:spLocks/>
        </xdr:cNvSpPr>
      </xdr:nvSpPr>
      <xdr:spPr>
        <a:xfrm>
          <a:off x="609600" y="42586275"/>
          <a:ext cx="723900" cy="0"/>
        </a:xfrm>
        <a:prstGeom prst="line">
          <a:avLst/>
        </a:prstGeom>
        <a:noFill/>
        <a:ln w="6350"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122</xdr:row>
      <xdr:rowOff>66675</xdr:rowOff>
    </xdr:from>
    <xdr:to>
      <xdr:col>0</xdr:col>
      <xdr:colOff>533400</xdr:colOff>
      <xdr:row>122</xdr:row>
      <xdr:rowOff>819150</xdr:rowOff>
    </xdr:to>
    <xdr:sp>
      <xdr:nvSpPr>
        <xdr:cNvPr id="5" name="Line 23"/>
        <xdr:cNvSpPr>
          <a:spLocks/>
        </xdr:cNvSpPr>
      </xdr:nvSpPr>
      <xdr:spPr>
        <a:xfrm>
          <a:off x="219075" y="41786175"/>
          <a:ext cx="314325" cy="752475"/>
        </a:xfrm>
        <a:prstGeom prst="line">
          <a:avLst/>
        </a:prstGeom>
        <a:noFill/>
        <a:ln w="6350"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121</xdr:row>
      <xdr:rowOff>276225</xdr:rowOff>
    </xdr:from>
    <xdr:to>
      <xdr:col>2</xdr:col>
      <xdr:colOff>457200</xdr:colOff>
      <xdr:row>121</xdr:row>
      <xdr:rowOff>276225</xdr:rowOff>
    </xdr:to>
    <xdr:sp>
      <xdr:nvSpPr>
        <xdr:cNvPr id="6" name="Line 24"/>
        <xdr:cNvSpPr>
          <a:spLocks/>
        </xdr:cNvSpPr>
      </xdr:nvSpPr>
      <xdr:spPr>
        <a:xfrm>
          <a:off x="314325" y="41652825"/>
          <a:ext cx="1362075" cy="0"/>
        </a:xfrm>
        <a:prstGeom prst="line">
          <a:avLst/>
        </a:prstGeom>
        <a:noFill/>
        <a:ln w="6350"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200025</xdr:colOff>
      <xdr:row>122</xdr:row>
      <xdr:rowOff>47625</xdr:rowOff>
    </xdr:from>
    <xdr:to>
      <xdr:col>2</xdr:col>
      <xdr:colOff>552450</xdr:colOff>
      <xdr:row>122</xdr:row>
      <xdr:rowOff>809625</xdr:rowOff>
    </xdr:to>
    <xdr:sp>
      <xdr:nvSpPr>
        <xdr:cNvPr id="7" name="Line 25"/>
        <xdr:cNvSpPr>
          <a:spLocks/>
        </xdr:cNvSpPr>
      </xdr:nvSpPr>
      <xdr:spPr>
        <a:xfrm flipH="1">
          <a:off x="1419225" y="41767125"/>
          <a:ext cx="352425" cy="762000"/>
        </a:xfrm>
        <a:prstGeom prst="line">
          <a:avLst/>
        </a:prstGeom>
        <a:noFill/>
        <a:ln w="6350"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106</xdr:row>
      <xdr:rowOff>19050</xdr:rowOff>
    </xdr:from>
    <xdr:to>
      <xdr:col>1</xdr:col>
      <xdr:colOff>9525</xdr:colOff>
      <xdr:row>106</xdr:row>
      <xdr:rowOff>666750</xdr:rowOff>
    </xdr:to>
    <xdr:sp>
      <xdr:nvSpPr>
        <xdr:cNvPr id="8" name="Line 29"/>
        <xdr:cNvSpPr>
          <a:spLocks/>
        </xdr:cNvSpPr>
      </xdr:nvSpPr>
      <xdr:spPr>
        <a:xfrm>
          <a:off x="619125" y="35242500"/>
          <a:ext cx="0" cy="6477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106</xdr:row>
      <xdr:rowOff>666750</xdr:rowOff>
    </xdr:from>
    <xdr:to>
      <xdr:col>2</xdr:col>
      <xdr:colOff>19050</xdr:colOff>
      <xdr:row>106</xdr:row>
      <xdr:rowOff>666750</xdr:rowOff>
    </xdr:to>
    <xdr:sp>
      <xdr:nvSpPr>
        <xdr:cNvPr id="9" name="Line 30"/>
        <xdr:cNvSpPr>
          <a:spLocks/>
        </xdr:cNvSpPr>
      </xdr:nvSpPr>
      <xdr:spPr>
        <a:xfrm>
          <a:off x="619125" y="35890200"/>
          <a:ext cx="6191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106</xdr:row>
      <xdr:rowOff>19050</xdr:rowOff>
    </xdr:from>
    <xdr:to>
      <xdr:col>2</xdr:col>
      <xdr:colOff>19050</xdr:colOff>
      <xdr:row>106</xdr:row>
      <xdr:rowOff>666750</xdr:rowOff>
    </xdr:to>
    <xdr:sp>
      <xdr:nvSpPr>
        <xdr:cNvPr id="10" name="Line 31"/>
        <xdr:cNvSpPr>
          <a:spLocks/>
        </xdr:cNvSpPr>
      </xdr:nvSpPr>
      <xdr:spPr>
        <a:xfrm>
          <a:off x="1238250" y="35242500"/>
          <a:ext cx="0" cy="6477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106</xdr:row>
      <xdr:rowOff>19050</xdr:rowOff>
    </xdr:from>
    <xdr:to>
      <xdr:col>0</xdr:col>
      <xdr:colOff>514350</xdr:colOff>
      <xdr:row>106</xdr:row>
      <xdr:rowOff>666750</xdr:rowOff>
    </xdr:to>
    <xdr:sp>
      <xdr:nvSpPr>
        <xdr:cNvPr id="11" name="Line 35"/>
        <xdr:cNvSpPr>
          <a:spLocks/>
        </xdr:cNvSpPr>
      </xdr:nvSpPr>
      <xdr:spPr>
        <a:xfrm>
          <a:off x="514350" y="35242500"/>
          <a:ext cx="0" cy="647700"/>
        </a:xfrm>
        <a:prstGeom prst="line">
          <a:avLst/>
        </a:prstGeom>
        <a:noFill/>
        <a:ln w="6350"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106</xdr:row>
      <xdr:rowOff>762000</xdr:rowOff>
    </xdr:from>
    <xdr:to>
      <xdr:col>2</xdr:col>
      <xdr:colOff>9525</xdr:colOff>
      <xdr:row>106</xdr:row>
      <xdr:rowOff>762000</xdr:rowOff>
    </xdr:to>
    <xdr:sp>
      <xdr:nvSpPr>
        <xdr:cNvPr id="12" name="Line 36"/>
        <xdr:cNvSpPr>
          <a:spLocks/>
        </xdr:cNvSpPr>
      </xdr:nvSpPr>
      <xdr:spPr>
        <a:xfrm>
          <a:off x="619125" y="35985450"/>
          <a:ext cx="609600" cy="0"/>
        </a:xfrm>
        <a:prstGeom prst="line">
          <a:avLst/>
        </a:prstGeom>
        <a:noFill/>
        <a:ln w="6350"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90</xdr:row>
      <xdr:rowOff>171450</xdr:rowOff>
    </xdr:from>
    <xdr:to>
      <xdr:col>1</xdr:col>
      <xdr:colOff>304800</xdr:colOff>
      <xdr:row>90</xdr:row>
      <xdr:rowOff>666750</xdr:rowOff>
    </xdr:to>
    <xdr:sp>
      <xdr:nvSpPr>
        <xdr:cNvPr id="13" name="Line 42"/>
        <xdr:cNvSpPr>
          <a:spLocks/>
        </xdr:cNvSpPr>
      </xdr:nvSpPr>
      <xdr:spPr>
        <a:xfrm>
          <a:off x="428625" y="29146500"/>
          <a:ext cx="485775" cy="4953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90</xdr:row>
      <xdr:rowOff>171450</xdr:rowOff>
    </xdr:from>
    <xdr:to>
      <xdr:col>2</xdr:col>
      <xdr:colOff>142875</xdr:colOff>
      <xdr:row>90</xdr:row>
      <xdr:rowOff>666750</xdr:rowOff>
    </xdr:to>
    <xdr:sp>
      <xdr:nvSpPr>
        <xdr:cNvPr id="14" name="Line 43"/>
        <xdr:cNvSpPr>
          <a:spLocks/>
        </xdr:cNvSpPr>
      </xdr:nvSpPr>
      <xdr:spPr>
        <a:xfrm flipV="1">
          <a:off x="914400" y="29146500"/>
          <a:ext cx="447675" cy="4953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90</xdr:row>
      <xdr:rowOff>238125</xdr:rowOff>
    </xdr:from>
    <xdr:to>
      <xdr:col>1</xdr:col>
      <xdr:colOff>238125</xdr:colOff>
      <xdr:row>90</xdr:row>
      <xdr:rowOff>742950</xdr:rowOff>
    </xdr:to>
    <xdr:sp>
      <xdr:nvSpPr>
        <xdr:cNvPr id="15" name="Line 67"/>
        <xdr:cNvSpPr>
          <a:spLocks/>
        </xdr:cNvSpPr>
      </xdr:nvSpPr>
      <xdr:spPr>
        <a:xfrm>
          <a:off x="352425" y="29213175"/>
          <a:ext cx="495300" cy="504825"/>
        </a:xfrm>
        <a:prstGeom prst="line">
          <a:avLst/>
        </a:prstGeom>
        <a:noFill/>
        <a:ln w="6350"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381000</xdr:colOff>
      <xdr:row>90</xdr:row>
      <xdr:rowOff>238125</xdr:rowOff>
    </xdr:from>
    <xdr:to>
      <xdr:col>2</xdr:col>
      <xdr:colOff>219075</xdr:colOff>
      <xdr:row>90</xdr:row>
      <xdr:rowOff>742950</xdr:rowOff>
    </xdr:to>
    <xdr:sp>
      <xdr:nvSpPr>
        <xdr:cNvPr id="16" name="Line 68"/>
        <xdr:cNvSpPr>
          <a:spLocks/>
        </xdr:cNvSpPr>
      </xdr:nvSpPr>
      <xdr:spPr>
        <a:xfrm flipV="1">
          <a:off x="990600" y="29213175"/>
          <a:ext cx="447675" cy="504825"/>
        </a:xfrm>
        <a:prstGeom prst="line">
          <a:avLst/>
        </a:prstGeom>
        <a:noFill/>
        <a:ln w="6350"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90</xdr:row>
      <xdr:rowOff>66675</xdr:rowOff>
    </xdr:from>
    <xdr:to>
      <xdr:col>2</xdr:col>
      <xdr:colOff>133350</xdr:colOff>
      <xdr:row>90</xdr:row>
      <xdr:rowOff>66675</xdr:rowOff>
    </xdr:to>
    <xdr:sp>
      <xdr:nvSpPr>
        <xdr:cNvPr id="17" name="Line 69"/>
        <xdr:cNvSpPr>
          <a:spLocks/>
        </xdr:cNvSpPr>
      </xdr:nvSpPr>
      <xdr:spPr>
        <a:xfrm>
          <a:off x="428625" y="29041725"/>
          <a:ext cx="923925" cy="0"/>
        </a:xfrm>
        <a:prstGeom prst="line">
          <a:avLst/>
        </a:prstGeom>
        <a:noFill/>
        <a:ln w="6350"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120</xdr:row>
      <xdr:rowOff>0</xdr:rowOff>
    </xdr:from>
    <xdr:to>
      <xdr:col>6</xdr:col>
      <xdr:colOff>571500</xdr:colOff>
      <xdr:row>120</xdr:row>
      <xdr:rowOff>0</xdr:rowOff>
    </xdr:to>
    <xdr:sp>
      <xdr:nvSpPr>
        <xdr:cNvPr id="18" name="Line 83"/>
        <xdr:cNvSpPr>
          <a:spLocks/>
        </xdr:cNvSpPr>
      </xdr:nvSpPr>
      <xdr:spPr>
        <a:xfrm>
          <a:off x="4648200" y="4112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75</xdr:row>
      <xdr:rowOff>142875</xdr:rowOff>
    </xdr:from>
    <xdr:to>
      <xdr:col>2</xdr:col>
      <xdr:colOff>219075</xdr:colOff>
      <xdr:row>76</xdr:row>
      <xdr:rowOff>85725</xdr:rowOff>
    </xdr:to>
    <xdr:sp>
      <xdr:nvSpPr>
        <xdr:cNvPr id="19" name="AutoShape 85"/>
        <xdr:cNvSpPr>
          <a:spLocks/>
        </xdr:cNvSpPr>
      </xdr:nvSpPr>
      <xdr:spPr>
        <a:xfrm>
          <a:off x="390525" y="23650575"/>
          <a:ext cx="1047750" cy="514350"/>
        </a:xfrm>
        <a:custGeom>
          <a:pathLst>
            <a:path h="54" w="110">
              <a:moveTo>
                <a:pt x="0" y="1"/>
              </a:moveTo>
              <a:cubicBezTo>
                <a:pt x="0" y="8"/>
                <a:pt x="1" y="15"/>
                <a:pt x="4" y="21"/>
              </a:cubicBezTo>
              <a:cubicBezTo>
                <a:pt x="7" y="27"/>
                <a:pt x="12" y="34"/>
                <a:pt x="18" y="39"/>
              </a:cubicBezTo>
              <a:cubicBezTo>
                <a:pt x="24" y="44"/>
                <a:pt x="34" y="50"/>
                <a:pt x="42" y="52"/>
              </a:cubicBezTo>
              <a:cubicBezTo>
                <a:pt x="50" y="54"/>
                <a:pt x="59" y="53"/>
                <a:pt x="66" y="52"/>
              </a:cubicBezTo>
              <a:cubicBezTo>
                <a:pt x="73" y="51"/>
                <a:pt x="79" y="48"/>
                <a:pt x="84" y="45"/>
              </a:cubicBezTo>
              <a:cubicBezTo>
                <a:pt x="89" y="42"/>
                <a:pt x="95" y="37"/>
                <a:pt x="99" y="32"/>
              </a:cubicBezTo>
              <a:cubicBezTo>
                <a:pt x="103" y="27"/>
                <a:pt x="106" y="20"/>
                <a:pt x="108" y="15"/>
              </a:cubicBezTo>
              <a:cubicBezTo>
                <a:pt x="110" y="10"/>
                <a:pt x="110" y="5"/>
                <a:pt x="110" y="0"/>
              </a:cubicBezTo>
            </a:path>
          </a:pathLst>
        </a:cu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75</xdr:row>
      <xdr:rowOff>66675</xdr:rowOff>
    </xdr:from>
    <xdr:to>
      <xdr:col>2</xdr:col>
      <xdr:colOff>209550</xdr:colOff>
      <xdr:row>75</xdr:row>
      <xdr:rowOff>66675</xdr:rowOff>
    </xdr:to>
    <xdr:sp>
      <xdr:nvSpPr>
        <xdr:cNvPr id="20" name="Line 86"/>
        <xdr:cNvSpPr>
          <a:spLocks/>
        </xdr:cNvSpPr>
      </xdr:nvSpPr>
      <xdr:spPr>
        <a:xfrm>
          <a:off x="381000" y="23574375"/>
          <a:ext cx="1047750" cy="0"/>
        </a:xfrm>
        <a:prstGeom prst="line">
          <a:avLst/>
        </a:prstGeom>
        <a:noFill/>
        <a:ln w="6350"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122</xdr:row>
      <xdr:rowOff>504825</xdr:rowOff>
    </xdr:from>
    <xdr:to>
      <xdr:col>2</xdr:col>
      <xdr:colOff>95250</xdr:colOff>
      <xdr:row>122</xdr:row>
      <xdr:rowOff>762000</xdr:rowOff>
    </xdr:to>
    <xdr:sp>
      <xdr:nvSpPr>
        <xdr:cNvPr id="21" name="Line 87"/>
        <xdr:cNvSpPr>
          <a:spLocks/>
        </xdr:cNvSpPr>
      </xdr:nvSpPr>
      <xdr:spPr>
        <a:xfrm flipV="1">
          <a:off x="1314450" y="422243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119</xdr:row>
      <xdr:rowOff>0</xdr:rowOff>
    </xdr:from>
    <xdr:to>
      <xdr:col>3</xdr:col>
      <xdr:colOff>304800</xdr:colOff>
      <xdr:row>119</xdr:row>
      <xdr:rowOff>0</xdr:rowOff>
    </xdr:to>
    <xdr:sp>
      <xdr:nvSpPr>
        <xdr:cNvPr id="22" name="Line 89"/>
        <xdr:cNvSpPr>
          <a:spLocks/>
        </xdr:cNvSpPr>
      </xdr:nvSpPr>
      <xdr:spPr>
        <a:xfrm>
          <a:off x="2247900" y="4096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122</xdr:row>
      <xdr:rowOff>504825</xdr:rowOff>
    </xdr:from>
    <xdr:to>
      <xdr:col>2</xdr:col>
      <xdr:colOff>200025</xdr:colOff>
      <xdr:row>122</xdr:row>
      <xdr:rowOff>581025</xdr:rowOff>
    </xdr:to>
    <xdr:sp>
      <xdr:nvSpPr>
        <xdr:cNvPr id="23" name="AutoShape 90"/>
        <xdr:cNvSpPr>
          <a:spLocks/>
        </xdr:cNvSpPr>
      </xdr:nvSpPr>
      <xdr:spPr>
        <a:xfrm>
          <a:off x="1266825" y="42224325"/>
          <a:ext cx="152400" cy="76200"/>
        </a:xfrm>
        <a:custGeom>
          <a:pathLst>
            <a:path h="8" w="16">
              <a:moveTo>
                <a:pt x="0" y="0"/>
              </a:moveTo>
              <a:cubicBezTo>
                <a:pt x="1" y="0"/>
                <a:pt x="6" y="0"/>
                <a:pt x="8" y="1"/>
              </a:cubicBezTo>
              <a:cubicBezTo>
                <a:pt x="10" y="2"/>
                <a:pt x="13" y="4"/>
                <a:pt x="14" y="5"/>
              </a:cubicBezTo>
              <a:cubicBezTo>
                <a:pt x="15" y="6"/>
                <a:pt x="16" y="8"/>
                <a:pt x="16" y="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129</xdr:row>
      <xdr:rowOff>790575</xdr:rowOff>
    </xdr:from>
    <xdr:to>
      <xdr:col>2</xdr:col>
      <xdr:colOff>104775</xdr:colOff>
      <xdr:row>129</xdr:row>
      <xdr:rowOff>790575</xdr:rowOff>
    </xdr:to>
    <xdr:sp>
      <xdr:nvSpPr>
        <xdr:cNvPr id="24" name="Line 170"/>
        <xdr:cNvSpPr>
          <a:spLocks/>
        </xdr:cNvSpPr>
      </xdr:nvSpPr>
      <xdr:spPr>
        <a:xfrm>
          <a:off x="619125" y="45672375"/>
          <a:ext cx="70485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129</xdr:row>
      <xdr:rowOff>28575</xdr:rowOff>
    </xdr:from>
    <xdr:to>
      <xdr:col>2</xdr:col>
      <xdr:colOff>457200</xdr:colOff>
      <xdr:row>129</xdr:row>
      <xdr:rowOff>790575</xdr:rowOff>
    </xdr:to>
    <xdr:sp>
      <xdr:nvSpPr>
        <xdr:cNvPr id="25" name="Line 171"/>
        <xdr:cNvSpPr>
          <a:spLocks/>
        </xdr:cNvSpPr>
      </xdr:nvSpPr>
      <xdr:spPr>
        <a:xfrm flipV="1">
          <a:off x="1323975" y="44910375"/>
          <a:ext cx="352425" cy="7620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129</xdr:row>
      <xdr:rowOff>28575</xdr:rowOff>
    </xdr:from>
    <xdr:to>
      <xdr:col>1</xdr:col>
      <xdr:colOff>9525</xdr:colOff>
      <xdr:row>129</xdr:row>
      <xdr:rowOff>790575</xdr:rowOff>
    </xdr:to>
    <xdr:sp>
      <xdr:nvSpPr>
        <xdr:cNvPr id="26" name="Line 172"/>
        <xdr:cNvSpPr>
          <a:spLocks/>
        </xdr:cNvSpPr>
      </xdr:nvSpPr>
      <xdr:spPr>
        <a:xfrm flipH="1" flipV="1">
          <a:off x="314325" y="44910375"/>
          <a:ext cx="304800" cy="7620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130</xdr:row>
      <xdr:rowOff>9525</xdr:rowOff>
    </xdr:from>
    <xdr:to>
      <xdr:col>2</xdr:col>
      <xdr:colOff>114300</xdr:colOff>
      <xdr:row>130</xdr:row>
      <xdr:rowOff>9525</xdr:rowOff>
    </xdr:to>
    <xdr:sp>
      <xdr:nvSpPr>
        <xdr:cNvPr id="27" name="Line 173"/>
        <xdr:cNvSpPr>
          <a:spLocks/>
        </xdr:cNvSpPr>
      </xdr:nvSpPr>
      <xdr:spPr>
        <a:xfrm>
          <a:off x="609600" y="45767625"/>
          <a:ext cx="723900" cy="0"/>
        </a:xfrm>
        <a:prstGeom prst="line">
          <a:avLst/>
        </a:prstGeom>
        <a:noFill/>
        <a:ln w="6350"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129</xdr:row>
      <xdr:rowOff>85725</xdr:rowOff>
    </xdr:from>
    <xdr:to>
      <xdr:col>0</xdr:col>
      <xdr:colOff>533400</xdr:colOff>
      <xdr:row>129</xdr:row>
      <xdr:rowOff>838200</xdr:rowOff>
    </xdr:to>
    <xdr:sp>
      <xdr:nvSpPr>
        <xdr:cNvPr id="28" name="Line 174"/>
        <xdr:cNvSpPr>
          <a:spLocks/>
        </xdr:cNvSpPr>
      </xdr:nvSpPr>
      <xdr:spPr>
        <a:xfrm>
          <a:off x="219075" y="44967525"/>
          <a:ext cx="314325" cy="752475"/>
        </a:xfrm>
        <a:prstGeom prst="line">
          <a:avLst/>
        </a:prstGeom>
        <a:noFill/>
        <a:ln w="6350"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128</xdr:row>
      <xdr:rowOff>276225</xdr:rowOff>
    </xdr:from>
    <xdr:to>
      <xdr:col>2</xdr:col>
      <xdr:colOff>457200</xdr:colOff>
      <xdr:row>128</xdr:row>
      <xdr:rowOff>276225</xdr:rowOff>
    </xdr:to>
    <xdr:sp>
      <xdr:nvSpPr>
        <xdr:cNvPr id="29" name="Line 175"/>
        <xdr:cNvSpPr>
          <a:spLocks/>
        </xdr:cNvSpPr>
      </xdr:nvSpPr>
      <xdr:spPr>
        <a:xfrm>
          <a:off x="314325" y="44834175"/>
          <a:ext cx="1362075" cy="0"/>
        </a:xfrm>
        <a:prstGeom prst="line">
          <a:avLst/>
        </a:prstGeom>
        <a:noFill/>
        <a:ln w="6350"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200025</xdr:colOff>
      <xdr:row>129</xdr:row>
      <xdr:rowOff>66675</xdr:rowOff>
    </xdr:from>
    <xdr:to>
      <xdr:col>2</xdr:col>
      <xdr:colOff>552450</xdr:colOff>
      <xdr:row>129</xdr:row>
      <xdr:rowOff>828675</xdr:rowOff>
    </xdr:to>
    <xdr:sp>
      <xdr:nvSpPr>
        <xdr:cNvPr id="30" name="Line 176"/>
        <xdr:cNvSpPr>
          <a:spLocks/>
        </xdr:cNvSpPr>
      </xdr:nvSpPr>
      <xdr:spPr>
        <a:xfrm flipH="1">
          <a:off x="1419225" y="44948475"/>
          <a:ext cx="352425" cy="762000"/>
        </a:xfrm>
        <a:prstGeom prst="line">
          <a:avLst/>
        </a:prstGeom>
        <a:noFill/>
        <a:ln w="6350"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129</xdr:row>
      <xdr:rowOff>523875</xdr:rowOff>
    </xdr:from>
    <xdr:to>
      <xdr:col>2</xdr:col>
      <xdr:colOff>95250</xdr:colOff>
      <xdr:row>129</xdr:row>
      <xdr:rowOff>781050</xdr:rowOff>
    </xdr:to>
    <xdr:sp>
      <xdr:nvSpPr>
        <xdr:cNvPr id="31" name="Line 177"/>
        <xdr:cNvSpPr>
          <a:spLocks/>
        </xdr:cNvSpPr>
      </xdr:nvSpPr>
      <xdr:spPr>
        <a:xfrm flipV="1">
          <a:off x="1314450" y="4540567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129</xdr:row>
      <xdr:rowOff>523875</xdr:rowOff>
    </xdr:from>
    <xdr:to>
      <xdr:col>2</xdr:col>
      <xdr:colOff>200025</xdr:colOff>
      <xdr:row>129</xdr:row>
      <xdr:rowOff>600075</xdr:rowOff>
    </xdr:to>
    <xdr:sp>
      <xdr:nvSpPr>
        <xdr:cNvPr id="32" name="AutoShape 178"/>
        <xdr:cNvSpPr>
          <a:spLocks/>
        </xdr:cNvSpPr>
      </xdr:nvSpPr>
      <xdr:spPr>
        <a:xfrm>
          <a:off x="1266825" y="45405675"/>
          <a:ext cx="152400" cy="76200"/>
        </a:xfrm>
        <a:custGeom>
          <a:pathLst>
            <a:path h="8" w="16">
              <a:moveTo>
                <a:pt x="0" y="0"/>
              </a:moveTo>
              <a:cubicBezTo>
                <a:pt x="1" y="0"/>
                <a:pt x="6" y="0"/>
                <a:pt x="8" y="1"/>
              </a:cubicBezTo>
              <a:cubicBezTo>
                <a:pt x="10" y="2"/>
                <a:pt x="13" y="4"/>
                <a:pt x="14" y="5"/>
              </a:cubicBezTo>
              <a:cubicBezTo>
                <a:pt x="15" y="6"/>
                <a:pt x="16" y="8"/>
                <a:pt x="16" y="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113</xdr:row>
      <xdr:rowOff>9525</xdr:rowOff>
    </xdr:from>
    <xdr:to>
      <xdr:col>1</xdr:col>
      <xdr:colOff>9525</xdr:colOff>
      <xdr:row>113</xdr:row>
      <xdr:rowOff>657225</xdr:rowOff>
    </xdr:to>
    <xdr:sp>
      <xdr:nvSpPr>
        <xdr:cNvPr id="33" name="Line 189"/>
        <xdr:cNvSpPr>
          <a:spLocks/>
        </xdr:cNvSpPr>
      </xdr:nvSpPr>
      <xdr:spPr>
        <a:xfrm>
          <a:off x="619125" y="38166675"/>
          <a:ext cx="0" cy="6477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113</xdr:row>
      <xdr:rowOff>657225</xdr:rowOff>
    </xdr:from>
    <xdr:to>
      <xdr:col>2</xdr:col>
      <xdr:colOff>19050</xdr:colOff>
      <xdr:row>113</xdr:row>
      <xdr:rowOff>657225</xdr:rowOff>
    </xdr:to>
    <xdr:sp>
      <xdr:nvSpPr>
        <xdr:cNvPr id="34" name="Line 190"/>
        <xdr:cNvSpPr>
          <a:spLocks/>
        </xdr:cNvSpPr>
      </xdr:nvSpPr>
      <xdr:spPr>
        <a:xfrm>
          <a:off x="619125" y="38814375"/>
          <a:ext cx="6191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113</xdr:row>
      <xdr:rowOff>9525</xdr:rowOff>
    </xdr:from>
    <xdr:to>
      <xdr:col>2</xdr:col>
      <xdr:colOff>19050</xdr:colOff>
      <xdr:row>113</xdr:row>
      <xdr:rowOff>657225</xdr:rowOff>
    </xdr:to>
    <xdr:sp>
      <xdr:nvSpPr>
        <xdr:cNvPr id="35" name="Line 191"/>
        <xdr:cNvSpPr>
          <a:spLocks/>
        </xdr:cNvSpPr>
      </xdr:nvSpPr>
      <xdr:spPr>
        <a:xfrm>
          <a:off x="1238250" y="38166675"/>
          <a:ext cx="0" cy="6477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113</xdr:row>
      <xdr:rowOff>9525</xdr:rowOff>
    </xdr:from>
    <xdr:to>
      <xdr:col>0</xdr:col>
      <xdr:colOff>514350</xdr:colOff>
      <xdr:row>113</xdr:row>
      <xdr:rowOff>657225</xdr:rowOff>
    </xdr:to>
    <xdr:sp>
      <xdr:nvSpPr>
        <xdr:cNvPr id="36" name="Line 192"/>
        <xdr:cNvSpPr>
          <a:spLocks/>
        </xdr:cNvSpPr>
      </xdr:nvSpPr>
      <xdr:spPr>
        <a:xfrm>
          <a:off x="514350" y="38166675"/>
          <a:ext cx="0" cy="647700"/>
        </a:xfrm>
        <a:prstGeom prst="line">
          <a:avLst/>
        </a:prstGeom>
        <a:noFill/>
        <a:ln w="6350"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113</xdr:row>
      <xdr:rowOff>752475</xdr:rowOff>
    </xdr:from>
    <xdr:to>
      <xdr:col>2</xdr:col>
      <xdr:colOff>9525</xdr:colOff>
      <xdr:row>113</xdr:row>
      <xdr:rowOff>752475</xdr:rowOff>
    </xdr:to>
    <xdr:sp>
      <xdr:nvSpPr>
        <xdr:cNvPr id="37" name="Line 193"/>
        <xdr:cNvSpPr>
          <a:spLocks/>
        </xdr:cNvSpPr>
      </xdr:nvSpPr>
      <xdr:spPr>
        <a:xfrm>
          <a:off x="619125" y="38909625"/>
          <a:ext cx="609600" cy="0"/>
        </a:xfrm>
        <a:prstGeom prst="line">
          <a:avLst/>
        </a:prstGeom>
        <a:noFill/>
        <a:ln w="6350"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81</xdr:row>
      <xdr:rowOff>133350</xdr:rowOff>
    </xdr:from>
    <xdr:to>
      <xdr:col>2</xdr:col>
      <xdr:colOff>228600</xdr:colOff>
      <xdr:row>82</xdr:row>
      <xdr:rowOff>152400</xdr:rowOff>
    </xdr:to>
    <xdr:sp>
      <xdr:nvSpPr>
        <xdr:cNvPr id="38" name="AutoShape 198"/>
        <xdr:cNvSpPr>
          <a:spLocks/>
        </xdr:cNvSpPr>
      </xdr:nvSpPr>
      <xdr:spPr>
        <a:xfrm>
          <a:off x="400050" y="26184225"/>
          <a:ext cx="1047750" cy="514350"/>
        </a:xfrm>
        <a:custGeom>
          <a:pathLst>
            <a:path h="54" w="110">
              <a:moveTo>
                <a:pt x="0" y="1"/>
              </a:moveTo>
              <a:cubicBezTo>
                <a:pt x="0" y="8"/>
                <a:pt x="1" y="15"/>
                <a:pt x="4" y="21"/>
              </a:cubicBezTo>
              <a:cubicBezTo>
                <a:pt x="7" y="27"/>
                <a:pt x="12" y="34"/>
                <a:pt x="18" y="39"/>
              </a:cubicBezTo>
              <a:cubicBezTo>
                <a:pt x="24" y="44"/>
                <a:pt x="34" y="50"/>
                <a:pt x="42" y="52"/>
              </a:cubicBezTo>
              <a:cubicBezTo>
                <a:pt x="50" y="54"/>
                <a:pt x="59" y="53"/>
                <a:pt x="66" y="52"/>
              </a:cubicBezTo>
              <a:cubicBezTo>
                <a:pt x="73" y="51"/>
                <a:pt x="79" y="48"/>
                <a:pt x="84" y="45"/>
              </a:cubicBezTo>
              <a:cubicBezTo>
                <a:pt x="89" y="42"/>
                <a:pt x="95" y="37"/>
                <a:pt x="99" y="32"/>
              </a:cubicBezTo>
              <a:cubicBezTo>
                <a:pt x="103" y="27"/>
                <a:pt x="106" y="20"/>
                <a:pt x="108" y="15"/>
              </a:cubicBezTo>
              <a:cubicBezTo>
                <a:pt x="110" y="10"/>
                <a:pt x="110" y="5"/>
                <a:pt x="110" y="0"/>
              </a:cubicBezTo>
            </a:path>
          </a:pathLst>
        </a:cu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81</xdr:row>
      <xdr:rowOff>57150</xdr:rowOff>
    </xdr:from>
    <xdr:to>
      <xdr:col>2</xdr:col>
      <xdr:colOff>219075</xdr:colOff>
      <xdr:row>81</xdr:row>
      <xdr:rowOff>57150</xdr:rowOff>
    </xdr:to>
    <xdr:sp>
      <xdr:nvSpPr>
        <xdr:cNvPr id="39" name="Line 199"/>
        <xdr:cNvSpPr>
          <a:spLocks/>
        </xdr:cNvSpPr>
      </xdr:nvSpPr>
      <xdr:spPr>
        <a:xfrm>
          <a:off x="390525" y="26108025"/>
          <a:ext cx="1047750" cy="0"/>
        </a:xfrm>
        <a:prstGeom prst="line">
          <a:avLst/>
        </a:prstGeom>
        <a:noFill/>
        <a:ln w="6350"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97</xdr:row>
      <xdr:rowOff>114300</xdr:rowOff>
    </xdr:from>
    <xdr:to>
      <xdr:col>1</xdr:col>
      <xdr:colOff>304800</xdr:colOff>
      <xdr:row>97</xdr:row>
      <xdr:rowOff>609600</xdr:rowOff>
    </xdr:to>
    <xdr:sp>
      <xdr:nvSpPr>
        <xdr:cNvPr id="40" name="Line 200"/>
        <xdr:cNvSpPr>
          <a:spLocks/>
        </xdr:cNvSpPr>
      </xdr:nvSpPr>
      <xdr:spPr>
        <a:xfrm>
          <a:off x="428625" y="32061150"/>
          <a:ext cx="485775" cy="4953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97</xdr:row>
      <xdr:rowOff>114300</xdr:rowOff>
    </xdr:from>
    <xdr:to>
      <xdr:col>2</xdr:col>
      <xdr:colOff>142875</xdr:colOff>
      <xdr:row>97</xdr:row>
      <xdr:rowOff>609600</xdr:rowOff>
    </xdr:to>
    <xdr:sp>
      <xdr:nvSpPr>
        <xdr:cNvPr id="41" name="Line 201"/>
        <xdr:cNvSpPr>
          <a:spLocks/>
        </xdr:cNvSpPr>
      </xdr:nvSpPr>
      <xdr:spPr>
        <a:xfrm flipV="1">
          <a:off x="914400" y="32061150"/>
          <a:ext cx="447675" cy="4953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97</xdr:row>
      <xdr:rowOff>180975</xdr:rowOff>
    </xdr:from>
    <xdr:to>
      <xdr:col>1</xdr:col>
      <xdr:colOff>238125</xdr:colOff>
      <xdr:row>97</xdr:row>
      <xdr:rowOff>685800</xdr:rowOff>
    </xdr:to>
    <xdr:sp>
      <xdr:nvSpPr>
        <xdr:cNvPr id="42" name="Line 202"/>
        <xdr:cNvSpPr>
          <a:spLocks/>
        </xdr:cNvSpPr>
      </xdr:nvSpPr>
      <xdr:spPr>
        <a:xfrm>
          <a:off x="352425" y="32127825"/>
          <a:ext cx="495300" cy="504825"/>
        </a:xfrm>
        <a:prstGeom prst="line">
          <a:avLst/>
        </a:prstGeom>
        <a:noFill/>
        <a:ln w="6350"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381000</xdr:colOff>
      <xdr:row>97</xdr:row>
      <xdr:rowOff>180975</xdr:rowOff>
    </xdr:from>
    <xdr:to>
      <xdr:col>2</xdr:col>
      <xdr:colOff>219075</xdr:colOff>
      <xdr:row>97</xdr:row>
      <xdr:rowOff>685800</xdr:rowOff>
    </xdr:to>
    <xdr:sp>
      <xdr:nvSpPr>
        <xdr:cNvPr id="43" name="Line 203"/>
        <xdr:cNvSpPr>
          <a:spLocks/>
        </xdr:cNvSpPr>
      </xdr:nvSpPr>
      <xdr:spPr>
        <a:xfrm flipV="1">
          <a:off x="990600" y="32127825"/>
          <a:ext cx="447675" cy="504825"/>
        </a:xfrm>
        <a:prstGeom prst="line">
          <a:avLst/>
        </a:prstGeom>
        <a:noFill/>
        <a:ln w="6350"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97</xdr:row>
      <xdr:rowOff>9525</xdr:rowOff>
    </xdr:from>
    <xdr:to>
      <xdr:col>2</xdr:col>
      <xdr:colOff>133350</xdr:colOff>
      <xdr:row>97</xdr:row>
      <xdr:rowOff>9525</xdr:rowOff>
    </xdr:to>
    <xdr:sp>
      <xdr:nvSpPr>
        <xdr:cNvPr id="44" name="Line 204"/>
        <xdr:cNvSpPr>
          <a:spLocks/>
        </xdr:cNvSpPr>
      </xdr:nvSpPr>
      <xdr:spPr>
        <a:xfrm>
          <a:off x="428625" y="31956375"/>
          <a:ext cx="923925" cy="0"/>
        </a:xfrm>
        <a:prstGeom prst="line">
          <a:avLst/>
        </a:prstGeom>
        <a:noFill/>
        <a:ln w="6350"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0</xdr:colOff>
      <xdr:row>10</xdr:row>
      <xdr:rowOff>0</xdr:rowOff>
    </xdr:from>
    <xdr:to>
      <xdr:col>13</xdr:col>
      <xdr:colOff>428625</xdr:colOff>
      <xdr:row>13</xdr:row>
      <xdr:rowOff>485775</xdr:rowOff>
    </xdr:to>
    <xdr:pic>
      <xdr:nvPicPr>
        <xdr:cNvPr id="45" name="Picture 260"/>
        <xdr:cNvPicPr preferRelativeResize="1">
          <a:picLocks noChangeAspect="1"/>
        </xdr:cNvPicPr>
      </xdr:nvPicPr>
      <xdr:blipFill>
        <a:blip r:embed="rId1"/>
        <a:stretch>
          <a:fillRect/>
        </a:stretch>
      </xdr:blipFill>
      <xdr:spPr>
        <a:xfrm>
          <a:off x="4076700" y="4086225"/>
          <a:ext cx="4238625" cy="3286125"/>
        </a:xfrm>
        <a:prstGeom prst="rect">
          <a:avLst/>
        </a:prstGeom>
        <a:noFill/>
        <a:ln w="9525" cmpd="sng">
          <a:noFill/>
        </a:ln>
      </xdr:spPr>
    </xdr:pic>
    <xdr:clientData/>
  </xdr:twoCellAnchor>
  <xdr:twoCellAnchor>
    <xdr:from>
      <xdr:col>11</xdr:col>
      <xdr:colOff>9525</xdr:colOff>
      <xdr:row>70</xdr:row>
      <xdr:rowOff>104775</xdr:rowOff>
    </xdr:from>
    <xdr:to>
      <xdr:col>11</xdr:col>
      <xdr:colOff>333375</xdr:colOff>
      <xdr:row>74</xdr:row>
      <xdr:rowOff>0</xdr:rowOff>
    </xdr:to>
    <xdr:sp>
      <xdr:nvSpPr>
        <xdr:cNvPr id="46" name="Line 262"/>
        <xdr:cNvSpPr>
          <a:spLocks/>
        </xdr:cNvSpPr>
      </xdr:nvSpPr>
      <xdr:spPr>
        <a:xfrm>
          <a:off x="7162800" y="22783800"/>
          <a:ext cx="32385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285750</xdr:colOff>
      <xdr:row>76</xdr:row>
      <xdr:rowOff>19050</xdr:rowOff>
    </xdr:from>
    <xdr:to>
      <xdr:col>13</xdr:col>
      <xdr:colOff>352425</xdr:colOff>
      <xdr:row>77</xdr:row>
      <xdr:rowOff>171450</xdr:rowOff>
    </xdr:to>
    <xdr:sp>
      <xdr:nvSpPr>
        <xdr:cNvPr id="47" name="Line 263"/>
        <xdr:cNvSpPr>
          <a:spLocks/>
        </xdr:cNvSpPr>
      </xdr:nvSpPr>
      <xdr:spPr>
        <a:xfrm flipH="1" flipV="1">
          <a:off x="8172450" y="24098250"/>
          <a:ext cx="6667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304800</xdr:colOff>
      <xdr:row>78</xdr:row>
      <xdr:rowOff>647700</xdr:rowOff>
    </xdr:from>
    <xdr:to>
      <xdr:col>13</xdr:col>
      <xdr:colOff>342900</xdr:colOff>
      <xdr:row>81</xdr:row>
      <xdr:rowOff>66675</xdr:rowOff>
    </xdr:to>
    <xdr:sp>
      <xdr:nvSpPr>
        <xdr:cNvPr id="48" name="Line 264"/>
        <xdr:cNvSpPr>
          <a:spLocks/>
        </xdr:cNvSpPr>
      </xdr:nvSpPr>
      <xdr:spPr>
        <a:xfrm flipH="1">
          <a:off x="8191500" y="25727025"/>
          <a:ext cx="381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285750</xdr:colOff>
      <xdr:row>90</xdr:row>
      <xdr:rowOff>76200</xdr:rowOff>
    </xdr:from>
    <xdr:to>
      <xdr:col>13</xdr:col>
      <xdr:colOff>352425</xdr:colOff>
      <xdr:row>91</xdr:row>
      <xdr:rowOff>209550</xdr:rowOff>
    </xdr:to>
    <xdr:sp>
      <xdr:nvSpPr>
        <xdr:cNvPr id="49" name="Line 268"/>
        <xdr:cNvSpPr>
          <a:spLocks/>
        </xdr:cNvSpPr>
      </xdr:nvSpPr>
      <xdr:spPr>
        <a:xfrm flipH="1" flipV="1">
          <a:off x="8172450" y="29051250"/>
          <a:ext cx="66675" cy="1019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295275</xdr:colOff>
      <xdr:row>93</xdr:row>
      <xdr:rowOff>400050</xdr:rowOff>
    </xdr:from>
    <xdr:to>
      <xdr:col>13</xdr:col>
      <xdr:colOff>361950</xdr:colOff>
      <xdr:row>95</xdr:row>
      <xdr:rowOff>95250</xdr:rowOff>
    </xdr:to>
    <xdr:sp>
      <xdr:nvSpPr>
        <xdr:cNvPr id="50" name="Line 269"/>
        <xdr:cNvSpPr>
          <a:spLocks/>
        </xdr:cNvSpPr>
      </xdr:nvSpPr>
      <xdr:spPr>
        <a:xfrm flipH="1">
          <a:off x="8181975" y="31165800"/>
          <a:ext cx="666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266700</xdr:colOff>
      <xdr:row>109</xdr:row>
      <xdr:rowOff>419100</xdr:rowOff>
    </xdr:from>
    <xdr:to>
      <xdr:col>13</xdr:col>
      <xdr:colOff>342900</xdr:colOff>
      <xdr:row>111</xdr:row>
      <xdr:rowOff>123825</xdr:rowOff>
    </xdr:to>
    <xdr:sp>
      <xdr:nvSpPr>
        <xdr:cNvPr id="51" name="Line 270"/>
        <xdr:cNvSpPr>
          <a:spLocks/>
        </xdr:cNvSpPr>
      </xdr:nvSpPr>
      <xdr:spPr>
        <a:xfrm flipH="1">
          <a:off x="8153400" y="37433250"/>
          <a:ext cx="7620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323850</xdr:colOff>
      <xdr:row>106</xdr:row>
      <xdr:rowOff>38100</xdr:rowOff>
    </xdr:from>
    <xdr:to>
      <xdr:col>13</xdr:col>
      <xdr:colOff>381000</xdr:colOff>
      <xdr:row>107</xdr:row>
      <xdr:rowOff>228600</xdr:rowOff>
    </xdr:to>
    <xdr:sp>
      <xdr:nvSpPr>
        <xdr:cNvPr id="52" name="Line 271"/>
        <xdr:cNvSpPr>
          <a:spLocks/>
        </xdr:cNvSpPr>
      </xdr:nvSpPr>
      <xdr:spPr>
        <a:xfrm flipH="1" flipV="1">
          <a:off x="8210550" y="35261550"/>
          <a:ext cx="57150" cy="1152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247650</xdr:colOff>
      <xdr:row>121</xdr:row>
      <xdr:rowOff>276225</xdr:rowOff>
    </xdr:from>
    <xdr:to>
      <xdr:col>13</xdr:col>
      <xdr:colOff>342900</xdr:colOff>
      <xdr:row>123</xdr:row>
      <xdr:rowOff>190500</xdr:rowOff>
    </xdr:to>
    <xdr:sp>
      <xdr:nvSpPr>
        <xdr:cNvPr id="53" name="Line 273"/>
        <xdr:cNvSpPr>
          <a:spLocks/>
        </xdr:cNvSpPr>
      </xdr:nvSpPr>
      <xdr:spPr>
        <a:xfrm flipH="1" flipV="1">
          <a:off x="8134350" y="41652825"/>
          <a:ext cx="95250" cy="1133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285750</xdr:colOff>
      <xdr:row>125</xdr:row>
      <xdr:rowOff>333375</xdr:rowOff>
    </xdr:from>
    <xdr:to>
      <xdr:col>13</xdr:col>
      <xdr:colOff>314325</xdr:colOff>
      <xdr:row>128</xdr:row>
      <xdr:rowOff>28575</xdr:rowOff>
    </xdr:to>
    <xdr:sp>
      <xdr:nvSpPr>
        <xdr:cNvPr id="54" name="Line 274"/>
        <xdr:cNvSpPr>
          <a:spLocks/>
        </xdr:cNvSpPr>
      </xdr:nvSpPr>
      <xdr:spPr>
        <a:xfrm flipH="1">
          <a:off x="8172450" y="43891200"/>
          <a:ext cx="28575"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45</xdr:row>
      <xdr:rowOff>152400</xdr:rowOff>
    </xdr:from>
    <xdr:to>
      <xdr:col>8</xdr:col>
      <xdr:colOff>552450</xdr:colOff>
      <xdr:row>45</xdr:row>
      <xdr:rowOff>285750</xdr:rowOff>
    </xdr:to>
    <xdr:sp>
      <xdr:nvSpPr>
        <xdr:cNvPr id="55" name="Line 275"/>
        <xdr:cNvSpPr>
          <a:spLocks/>
        </xdr:cNvSpPr>
      </xdr:nvSpPr>
      <xdr:spPr>
        <a:xfrm flipH="1">
          <a:off x="5200650" y="14697075"/>
          <a:ext cx="79057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485775</xdr:colOff>
      <xdr:row>45</xdr:row>
      <xdr:rowOff>152400</xdr:rowOff>
    </xdr:from>
    <xdr:to>
      <xdr:col>8</xdr:col>
      <xdr:colOff>571500</xdr:colOff>
      <xdr:row>46</xdr:row>
      <xdr:rowOff>0</xdr:rowOff>
    </xdr:to>
    <xdr:sp>
      <xdr:nvSpPr>
        <xdr:cNvPr id="56" name="Line 276"/>
        <xdr:cNvSpPr>
          <a:spLocks/>
        </xdr:cNvSpPr>
      </xdr:nvSpPr>
      <xdr:spPr>
        <a:xfrm flipH="1">
          <a:off x="5924550" y="14697075"/>
          <a:ext cx="85725"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51</xdr:row>
      <xdr:rowOff>9525</xdr:rowOff>
    </xdr:from>
    <xdr:to>
      <xdr:col>0</xdr:col>
      <xdr:colOff>285750</xdr:colOff>
      <xdr:row>52</xdr:row>
      <xdr:rowOff>142875</xdr:rowOff>
    </xdr:to>
    <xdr:sp>
      <xdr:nvSpPr>
        <xdr:cNvPr id="57" name="Line 278"/>
        <xdr:cNvSpPr>
          <a:spLocks/>
        </xdr:cNvSpPr>
      </xdr:nvSpPr>
      <xdr:spPr>
        <a:xfrm>
          <a:off x="219075" y="16868775"/>
          <a:ext cx="6667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unterplastics.co.uk/rainwater/gutterdesign/default.html" TargetMode="External" /><Relationship Id="rId2" Type="http://schemas.openxmlformats.org/officeDocument/2006/relationships/hyperlink" Target="http://copper.org/applications/architecture/arch_dhb/gutters_downspouts/downspouts.html" TargetMode="External" /><Relationship Id="rId3" Type="http://schemas.openxmlformats.org/officeDocument/2006/relationships/hyperlink" Target="http://members.ozemail.com.au/~ksengs/DPcalc.html"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50"/>
  <sheetViews>
    <sheetView tabSelected="1" zoomScale="115" zoomScaleNormal="115" workbookViewId="0" topLeftCell="A1">
      <selection activeCell="D141" sqref="D141:N141"/>
    </sheetView>
  </sheetViews>
  <sheetFormatPr defaultColWidth="9.140625" defaultRowHeight="12.75"/>
  <cols>
    <col min="1" max="2" width="9.140625" style="1" customWidth="1"/>
    <col min="3" max="3" width="10.8515625" style="1" customWidth="1"/>
    <col min="4" max="4" width="10.140625" style="1" bestFit="1" customWidth="1"/>
    <col min="5" max="5" width="14.28125" style="1" customWidth="1"/>
    <col min="6" max="6" width="7.57421875" style="1" customWidth="1"/>
    <col min="7" max="7" width="9.140625" style="1" customWidth="1"/>
    <col min="8" max="8" width="11.28125" style="1" customWidth="1"/>
    <col min="9" max="9" width="9.421875" style="1" customWidth="1"/>
    <col min="10" max="10" width="7.421875" style="1" customWidth="1"/>
    <col min="11" max="11" width="8.8515625" style="1" customWidth="1"/>
    <col min="12" max="12" width="6.140625" style="1" customWidth="1"/>
    <col min="13" max="13" width="4.8515625" style="1" customWidth="1"/>
    <col min="14" max="14" width="7.8515625" style="1" customWidth="1"/>
    <col min="15" max="15" width="3.421875" style="1" customWidth="1"/>
    <col min="16" max="16384" width="9.140625" style="1" customWidth="1"/>
  </cols>
  <sheetData>
    <row r="1" spans="1:14" ht="28.5" customHeight="1">
      <c r="A1" s="15" t="s">
        <v>14</v>
      </c>
      <c r="B1" s="15"/>
      <c r="C1" s="15"/>
      <c r="D1" s="15"/>
      <c r="E1" s="15"/>
      <c r="F1" s="15"/>
      <c r="G1" s="15"/>
      <c r="H1" s="15"/>
      <c r="I1" s="15"/>
      <c r="J1" s="15"/>
      <c r="K1" s="15"/>
      <c r="L1" s="15"/>
      <c r="M1" s="15"/>
      <c r="N1" s="15"/>
    </row>
    <row r="2" spans="1:14" ht="21.75" customHeight="1">
      <c r="A2" s="16" t="s">
        <v>15</v>
      </c>
      <c r="B2" s="16"/>
      <c r="C2" s="16"/>
      <c r="D2" s="16"/>
      <c r="E2" s="16"/>
      <c r="F2" s="16"/>
      <c r="G2" s="16"/>
      <c r="H2" s="16"/>
      <c r="I2" s="16"/>
      <c r="J2" s="16"/>
      <c r="K2" s="17"/>
      <c r="L2" s="17"/>
      <c r="M2" s="17"/>
      <c r="N2" s="17"/>
    </row>
    <row r="3" spans="1:14" ht="62.25" customHeight="1">
      <c r="A3" s="18" t="s">
        <v>110</v>
      </c>
      <c r="B3" s="18"/>
      <c r="C3" s="18"/>
      <c r="D3" s="18"/>
      <c r="E3" s="18"/>
      <c r="F3" s="18"/>
      <c r="G3" s="18"/>
      <c r="H3" s="18"/>
      <c r="I3" s="18"/>
      <c r="J3" s="18"/>
      <c r="K3" s="18"/>
      <c r="L3" s="18"/>
      <c r="M3" s="18"/>
      <c r="N3" s="18"/>
    </row>
    <row r="4" spans="1:14" ht="35.25" customHeight="1">
      <c r="A4" s="18" t="s">
        <v>16</v>
      </c>
      <c r="B4" s="18"/>
      <c r="C4" s="18"/>
      <c r="D4" s="18"/>
      <c r="E4" s="18"/>
      <c r="F4" s="18"/>
      <c r="G4" s="18"/>
      <c r="H4" s="18"/>
      <c r="I4" s="18"/>
      <c r="J4" s="18"/>
      <c r="K4" s="18"/>
      <c r="L4" s="18"/>
      <c r="M4" s="18"/>
      <c r="N4" s="18"/>
    </row>
    <row r="5" spans="1:14" ht="42.75" customHeight="1">
      <c r="A5" s="16" t="s">
        <v>17</v>
      </c>
      <c r="B5" s="18"/>
      <c r="C5" s="18"/>
      <c r="D5" s="18"/>
      <c r="E5" s="18"/>
      <c r="F5" s="18"/>
      <c r="G5" s="18"/>
      <c r="H5" s="18"/>
      <c r="I5" s="18"/>
      <c r="J5" s="18"/>
      <c r="K5" s="18"/>
      <c r="L5" s="18"/>
      <c r="M5" s="18"/>
      <c r="N5" s="18"/>
    </row>
    <row r="6" spans="1:14" ht="33.75" customHeight="1">
      <c r="A6" s="16" t="s">
        <v>112</v>
      </c>
      <c r="B6" s="18"/>
      <c r="C6" s="18"/>
      <c r="D6" s="18"/>
      <c r="E6" s="18"/>
      <c r="F6" s="18"/>
      <c r="G6" s="18"/>
      <c r="H6" s="18"/>
      <c r="I6" s="18"/>
      <c r="J6" s="18"/>
      <c r="K6" s="18"/>
      <c r="L6" s="18"/>
      <c r="M6" s="18"/>
      <c r="N6" s="18"/>
    </row>
    <row r="7" spans="1:14" ht="33.75" customHeight="1">
      <c r="A7" s="16" t="s">
        <v>113</v>
      </c>
      <c r="B7" s="18"/>
      <c r="C7" s="18"/>
      <c r="D7" s="18"/>
      <c r="E7" s="18"/>
      <c r="F7" s="18"/>
      <c r="G7" s="18"/>
      <c r="H7" s="18"/>
      <c r="I7" s="18"/>
      <c r="J7" s="18"/>
      <c r="K7" s="18"/>
      <c r="L7" s="18"/>
      <c r="M7" s="18"/>
      <c r="N7" s="18"/>
    </row>
    <row r="8" spans="1:14" ht="17.25" customHeight="1">
      <c r="A8" s="16" t="s">
        <v>8</v>
      </c>
      <c r="B8" s="16"/>
      <c r="C8" s="16"/>
      <c r="D8" s="16"/>
      <c r="E8" s="16"/>
      <c r="F8" s="16"/>
      <c r="G8" s="16"/>
      <c r="H8" s="16"/>
      <c r="I8" s="16"/>
      <c r="J8" s="16"/>
      <c r="K8" s="16"/>
      <c r="L8" s="16"/>
      <c r="M8" s="16"/>
      <c r="N8" s="16"/>
    </row>
    <row r="9" spans="1:14" ht="33.75" customHeight="1">
      <c r="A9" s="18" t="s">
        <v>111</v>
      </c>
      <c r="B9" s="18"/>
      <c r="C9" s="18"/>
      <c r="D9" s="18"/>
      <c r="E9" s="18"/>
      <c r="F9" s="18"/>
      <c r="G9" s="18"/>
      <c r="H9" s="18"/>
      <c r="I9" s="18"/>
      <c r="J9" s="18"/>
      <c r="K9" s="18"/>
      <c r="L9" s="18"/>
      <c r="M9" s="18"/>
      <c r="N9" s="18"/>
    </row>
    <row r="10" spans="1:14" ht="12.75">
      <c r="A10" s="19"/>
      <c r="B10" s="19"/>
      <c r="C10" s="19"/>
      <c r="D10" s="19"/>
      <c r="E10" s="19"/>
      <c r="F10" s="19"/>
      <c r="G10" s="19"/>
      <c r="H10" s="19"/>
      <c r="I10" s="19"/>
      <c r="J10" s="19"/>
      <c r="K10" s="20"/>
      <c r="L10" s="20"/>
      <c r="M10" s="20"/>
      <c r="N10" s="20"/>
    </row>
    <row r="11" spans="1:14" ht="99" customHeight="1">
      <c r="A11" s="21" t="s">
        <v>18</v>
      </c>
      <c r="B11" s="21"/>
      <c r="C11" s="21"/>
      <c r="D11" s="21"/>
      <c r="E11" s="21"/>
      <c r="F11" s="19"/>
      <c r="G11" s="19"/>
      <c r="H11" s="19"/>
      <c r="I11" s="19"/>
      <c r="J11" s="19"/>
      <c r="K11" s="20"/>
      <c r="L11" s="20"/>
      <c r="M11" s="20"/>
      <c r="N11" s="20"/>
    </row>
    <row r="12" spans="1:14" ht="60.75" customHeight="1">
      <c r="A12" s="22" t="s">
        <v>114</v>
      </c>
      <c r="B12" s="21"/>
      <c r="C12" s="21"/>
      <c r="D12" s="21"/>
      <c r="E12" s="21"/>
      <c r="F12" s="19"/>
      <c r="G12" s="19"/>
      <c r="H12" s="19"/>
      <c r="I12" s="19"/>
      <c r="J12" s="19"/>
      <c r="K12" s="20"/>
      <c r="L12" s="20"/>
      <c r="M12" s="20"/>
      <c r="N12" s="20"/>
    </row>
    <row r="13" spans="1:14" ht="60.75" customHeight="1">
      <c r="A13" s="21"/>
      <c r="B13" s="21"/>
      <c r="C13" s="21"/>
      <c r="D13" s="21"/>
      <c r="E13" s="21"/>
      <c r="F13" s="19"/>
      <c r="G13" s="19"/>
      <c r="H13" s="19"/>
      <c r="I13" s="19"/>
      <c r="J13" s="19"/>
      <c r="K13" s="20"/>
      <c r="L13" s="20"/>
      <c r="M13" s="20"/>
      <c r="N13" s="20"/>
    </row>
    <row r="14" spans="1:14" ht="45.75" customHeight="1">
      <c r="A14" s="21"/>
      <c r="B14" s="21"/>
      <c r="C14" s="21"/>
      <c r="D14" s="21"/>
      <c r="E14" s="21"/>
      <c r="F14" s="19"/>
      <c r="G14" s="19"/>
      <c r="H14" s="19"/>
      <c r="I14" s="19"/>
      <c r="J14" s="19"/>
      <c r="K14" s="20"/>
      <c r="L14" s="20"/>
      <c r="M14" s="20"/>
      <c r="N14" s="20"/>
    </row>
    <row r="15" spans="1:14" ht="12.75">
      <c r="A15" s="19"/>
      <c r="B15" s="19"/>
      <c r="C15" s="19"/>
      <c r="D15" s="19"/>
      <c r="E15" s="19"/>
      <c r="F15" s="19"/>
      <c r="G15" s="19"/>
      <c r="H15" s="19"/>
      <c r="I15" s="19"/>
      <c r="J15" s="19"/>
      <c r="K15" s="20"/>
      <c r="L15" s="20"/>
      <c r="M15" s="20"/>
      <c r="N15" s="20"/>
    </row>
    <row r="16" spans="1:14" ht="12.75">
      <c r="A16" s="23" t="s">
        <v>108</v>
      </c>
      <c r="B16" s="23"/>
      <c r="C16" s="23"/>
      <c r="D16" s="23"/>
      <c r="E16" s="23"/>
      <c r="F16" s="23"/>
      <c r="G16" s="23"/>
      <c r="H16" s="23"/>
      <c r="I16" s="23"/>
      <c r="J16" s="23"/>
      <c r="K16" s="23"/>
      <c r="L16" s="23"/>
      <c r="M16" s="23"/>
      <c r="N16" s="23"/>
    </row>
    <row r="17" spans="1:14" ht="12.75">
      <c r="A17" s="19"/>
      <c r="B17" s="19"/>
      <c r="C17" s="19"/>
      <c r="D17" s="19"/>
      <c r="E17" s="19"/>
      <c r="F17" s="19"/>
      <c r="G17" s="19"/>
      <c r="H17" s="19"/>
      <c r="I17" s="19"/>
      <c r="J17" s="19"/>
      <c r="K17" s="19"/>
      <c r="L17" s="19"/>
      <c r="M17" s="19"/>
      <c r="N17" s="19"/>
    </row>
    <row r="18" spans="1:14" ht="16.5" customHeight="1">
      <c r="A18" s="21" t="s">
        <v>34</v>
      </c>
      <c r="B18" s="23"/>
      <c r="C18" s="23"/>
      <c r="D18" s="23"/>
      <c r="E18" s="19"/>
      <c r="F18" s="19"/>
      <c r="G18" s="19"/>
      <c r="H18" s="19"/>
      <c r="I18" s="19"/>
      <c r="J18" s="19"/>
      <c r="K18" s="19"/>
      <c r="L18" s="19"/>
      <c r="M18" s="19"/>
      <c r="N18" s="19"/>
    </row>
    <row r="19" spans="1:14" ht="12.75">
      <c r="A19" s="20"/>
      <c r="B19" s="20"/>
      <c r="C19" s="20"/>
      <c r="D19" s="20"/>
      <c r="E19" s="20"/>
      <c r="F19" s="20"/>
      <c r="G19" s="20"/>
      <c r="H19" s="20"/>
      <c r="I19" s="20"/>
      <c r="J19" s="20"/>
      <c r="K19" s="20"/>
      <c r="L19" s="20"/>
      <c r="M19" s="20"/>
      <c r="N19" s="20"/>
    </row>
    <row r="20" spans="1:14" ht="12.75">
      <c r="A20" s="24" t="s">
        <v>48</v>
      </c>
      <c r="B20" s="24"/>
      <c r="C20" s="24"/>
      <c r="D20" s="24"/>
      <c r="E20" s="24"/>
      <c r="F20" s="24"/>
      <c r="G20" s="24"/>
      <c r="H20" s="24"/>
      <c r="I20" s="24"/>
      <c r="J20" s="24"/>
      <c r="K20" s="24"/>
      <c r="L20" s="24"/>
      <c r="M20" s="24"/>
      <c r="N20" s="24"/>
    </row>
    <row r="21" spans="1:14" ht="12.75">
      <c r="A21" s="20"/>
      <c r="B21" s="20"/>
      <c r="C21" s="20"/>
      <c r="D21" s="20"/>
      <c r="E21" s="20"/>
      <c r="F21" s="20"/>
      <c r="G21" s="20"/>
      <c r="H21" s="20"/>
      <c r="I21" s="20"/>
      <c r="J21" s="20"/>
      <c r="K21" s="20"/>
      <c r="L21" s="20"/>
      <c r="M21" s="20"/>
      <c r="N21" s="20"/>
    </row>
    <row r="22" spans="1:14" ht="12.75">
      <c r="A22" s="24" t="s">
        <v>50</v>
      </c>
      <c r="B22" s="24"/>
      <c r="C22" s="24"/>
      <c r="D22" s="24"/>
      <c r="E22" s="24"/>
      <c r="F22" s="24"/>
      <c r="G22" s="10">
        <v>310</v>
      </c>
      <c r="H22" s="20" t="s">
        <v>70</v>
      </c>
      <c r="I22" s="26">
        <f>G22/10.7639</f>
        <v>28.799970270998433</v>
      </c>
      <c r="J22" s="20" t="s">
        <v>19</v>
      </c>
      <c r="K22" s="20"/>
      <c r="L22" s="20"/>
      <c r="M22" s="20"/>
      <c r="N22" s="20"/>
    </row>
    <row r="23" spans="1:14" ht="7.5" customHeight="1">
      <c r="A23" s="20"/>
      <c r="B23" s="20"/>
      <c r="C23" s="20"/>
      <c r="D23" s="20"/>
      <c r="E23" s="20"/>
      <c r="F23" s="20"/>
      <c r="G23" s="27"/>
      <c r="H23" s="20"/>
      <c r="I23" s="20"/>
      <c r="J23" s="20"/>
      <c r="K23" s="20"/>
      <c r="L23" s="20"/>
      <c r="M23" s="20"/>
      <c r="N23" s="20"/>
    </row>
    <row r="24" spans="1:14" ht="25.5">
      <c r="A24" s="24" t="s">
        <v>109</v>
      </c>
      <c r="B24" s="24"/>
      <c r="C24" s="24"/>
      <c r="D24" s="24"/>
      <c r="E24" s="24"/>
      <c r="F24" s="24"/>
      <c r="G24" s="10">
        <v>4.75</v>
      </c>
      <c r="H24" s="20" t="s">
        <v>115</v>
      </c>
      <c r="I24" s="26">
        <f>G24*25.4/60</f>
        <v>2.0108333333333333</v>
      </c>
      <c r="J24" s="20" t="s">
        <v>64</v>
      </c>
      <c r="K24" s="20"/>
      <c r="L24" s="20"/>
      <c r="M24" s="20"/>
      <c r="N24" s="20"/>
    </row>
    <row r="25" spans="1:14" ht="12.75">
      <c r="A25" s="20"/>
      <c r="B25" s="20"/>
      <c r="C25" s="20"/>
      <c r="D25" s="20"/>
      <c r="E25" s="20"/>
      <c r="F25" s="20"/>
      <c r="G25" s="28"/>
      <c r="H25" s="20"/>
      <c r="I25" s="26"/>
      <c r="J25" s="20"/>
      <c r="K25" s="20"/>
      <c r="L25" s="29"/>
      <c r="M25" s="29"/>
      <c r="N25" s="20"/>
    </row>
    <row r="26" spans="1:14" ht="12.75">
      <c r="A26" s="24" t="s">
        <v>61</v>
      </c>
      <c r="B26" s="24"/>
      <c r="C26" s="24"/>
      <c r="D26" s="30">
        <f>(G24*G22*7.48)/(60*12)</f>
        <v>15.29763888888889</v>
      </c>
      <c r="E26" s="20"/>
      <c r="F26" s="20"/>
      <c r="G26" s="20"/>
      <c r="H26" s="20"/>
      <c r="I26" s="20"/>
      <c r="J26" s="20"/>
      <c r="K26" s="20"/>
      <c r="L26" s="20"/>
      <c r="M26" s="20"/>
      <c r="N26" s="20"/>
    </row>
    <row r="27" spans="1:14" ht="12.75">
      <c r="A27" s="24" t="s">
        <v>60</v>
      </c>
      <c r="B27" s="24"/>
      <c r="C27" s="24"/>
      <c r="D27" s="31">
        <f>D26*3.7854</f>
        <v>57.90768225000001</v>
      </c>
      <c r="E27" s="20"/>
      <c r="F27" s="20"/>
      <c r="G27" s="20"/>
      <c r="H27" s="20"/>
      <c r="I27" s="20"/>
      <c r="J27" s="20"/>
      <c r="K27" s="20"/>
      <c r="L27" s="20"/>
      <c r="M27" s="20"/>
      <c r="N27" s="20"/>
    </row>
    <row r="28" spans="1:14" ht="12.75">
      <c r="A28" s="20"/>
      <c r="B28" s="20"/>
      <c r="C28" s="20"/>
      <c r="D28" s="27"/>
      <c r="E28" s="20"/>
      <c r="F28" s="20"/>
      <c r="G28" s="20"/>
      <c r="H28" s="20"/>
      <c r="I28" s="20"/>
      <c r="J28" s="20"/>
      <c r="K28" s="20"/>
      <c r="L28" s="20"/>
      <c r="M28" s="20"/>
      <c r="N28" s="20"/>
    </row>
    <row r="29" spans="1:14" ht="38.25" customHeight="1">
      <c r="A29" s="24" t="s">
        <v>49</v>
      </c>
      <c r="B29" s="24"/>
      <c r="C29" s="24"/>
      <c r="D29" s="10">
        <v>85</v>
      </c>
      <c r="E29" s="20" t="s">
        <v>72</v>
      </c>
      <c r="F29" s="24" t="s">
        <v>56</v>
      </c>
      <c r="G29" s="24"/>
      <c r="H29" s="24"/>
      <c r="I29" s="24"/>
      <c r="J29" s="24"/>
      <c r="K29" s="24"/>
      <c r="L29" s="24"/>
      <c r="M29" s="24"/>
      <c r="N29" s="24"/>
    </row>
    <row r="30" spans="1:14" ht="12.75">
      <c r="A30" s="20"/>
      <c r="B30" s="20"/>
      <c r="C30" s="20"/>
      <c r="D30" s="27"/>
      <c r="E30" s="20"/>
      <c r="F30" s="20"/>
      <c r="G30" s="20"/>
      <c r="H30" s="20"/>
      <c r="I30" s="20"/>
      <c r="J30" s="20"/>
      <c r="K30" s="20"/>
      <c r="L30" s="20"/>
      <c r="M30" s="20"/>
      <c r="N30" s="20"/>
    </row>
    <row r="31" spans="1:14" ht="18" customHeight="1">
      <c r="A31" s="24" t="s">
        <v>58</v>
      </c>
      <c r="B31" s="24"/>
      <c r="C31" s="24"/>
      <c r="D31" s="30">
        <f>D26*D29/100</f>
        <v>13.002993055555557</v>
      </c>
      <c r="E31" s="20"/>
      <c r="F31" s="20"/>
      <c r="G31" s="20"/>
      <c r="H31" s="20"/>
      <c r="I31" s="20"/>
      <c r="J31" s="20"/>
      <c r="K31" s="20"/>
      <c r="L31" s="20"/>
      <c r="M31" s="20"/>
      <c r="N31" s="20"/>
    </row>
    <row r="32" spans="1:14" ht="19.5" customHeight="1">
      <c r="A32" s="24" t="s">
        <v>59</v>
      </c>
      <c r="B32" s="24"/>
      <c r="C32" s="24"/>
      <c r="D32" s="31">
        <f>D31*3.7854</f>
        <v>49.2215299125</v>
      </c>
      <c r="E32" s="20"/>
      <c r="F32" s="20"/>
      <c r="G32" s="20"/>
      <c r="H32" s="20"/>
      <c r="I32" s="20"/>
      <c r="J32" s="20"/>
      <c r="K32" s="20"/>
      <c r="L32" s="20"/>
      <c r="M32" s="20"/>
      <c r="N32" s="20"/>
    </row>
    <row r="33" spans="1:14" ht="12.75">
      <c r="A33" s="20"/>
      <c r="B33" s="20"/>
      <c r="C33" s="20"/>
      <c r="D33" s="27"/>
      <c r="E33" s="20"/>
      <c r="F33" s="20"/>
      <c r="G33" s="20"/>
      <c r="H33" s="20"/>
      <c r="I33" s="20"/>
      <c r="J33" s="20"/>
      <c r="K33" s="20"/>
      <c r="L33" s="20"/>
      <c r="M33" s="20"/>
      <c r="N33" s="20"/>
    </row>
    <row r="34" spans="1:14" ht="54" customHeight="1">
      <c r="A34" s="23" t="s">
        <v>20</v>
      </c>
      <c r="B34" s="23"/>
      <c r="C34" s="23"/>
      <c r="D34" s="23"/>
      <c r="E34" s="23"/>
      <c r="F34" s="23"/>
      <c r="G34" s="23"/>
      <c r="H34" s="23"/>
      <c r="I34" s="23"/>
      <c r="J34" s="23"/>
      <c r="K34" s="20"/>
      <c r="L34" s="20"/>
      <c r="M34" s="20"/>
      <c r="N34" s="20"/>
    </row>
    <row r="35" spans="1:14" ht="12.75">
      <c r="A35" s="20"/>
      <c r="B35" s="20"/>
      <c r="C35" s="20"/>
      <c r="D35" s="20"/>
      <c r="E35" s="20"/>
      <c r="F35" s="20"/>
      <c r="G35" s="20"/>
      <c r="H35" s="32" t="s">
        <v>44</v>
      </c>
      <c r="I35" s="32"/>
      <c r="J35" s="32"/>
      <c r="K35" s="20"/>
      <c r="L35" s="20"/>
      <c r="M35" s="20"/>
      <c r="N35" s="20"/>
    </row>
    <row r="36" spans="1:14" ht="12.75">
      <c r="A36" s="20"/>
      <c r="B36" s="32" t="s">
        <v>21</v>
      </c>
      <c r="C36" s="32"/>
      <c r="D36" s="20"/>
      <c r="E36" s="20"/>
      <c r="F36" s="20"/>
      <c r="G36" s="20"/>
      <c r="H36" s="32"/>
      <c r="I36" s="32"/>
      <c r="J36" s="32"/>
      <c r="K36" s="20"/>
      <c r="L36" s="20"/>
      <c r="M36" s="20"/>
      <c r="N36" s="20"/>
    </row>
    <row r="37" spans="1:14" ht="12.75">
      <c r="A37" s="20"/>
      <c r="B37" s="24" t="s">
        <v>63</v>
      </c>
      <c r="C37" s="24"/>
      <c r="D37" s="24"/>
      <c r="E37" s="24"/>
      <c r="F37" s="24"/>
      <c r="G37" s="24"/>
      <c r="H37" s="20"/>
      <c r="I37" s="27">
        <v>0.07</v>
      </c>
      <c r="J37" s="20"/>
      <c r="K37" s="20"/>
      <c r="L37" s="20"/>
      <c r="M37" s="20"/>
      <c r="N37" s="20"/>
    </row>
    <row r="38" spans="1:14" ht="12.75">
      <c r="A38" s="20"/>
      <c r="B38" s="24" t="s">
        <v>51</v>
      </c>
      <c r="C38" s="24"/>
      <c r="D38" s="24"/>
      <c r="E38" s="24"/>
      <c r="F38" s="24"/>
      <c r="G38" s="24"/>
      <c r="H38" s="20"/>
      <c r="I38" s="27">
        <v>0.04</v>
      </c>
      <c r="J38" s="20"/>
      <c r="K38" s="20"/>
      <c r="L38" s="20"/>
      <c r="M38" s="20"/>
      <c r="N38" s="20"/>
    </row>
    <row r="39" spans="1:14" ht="12.75">
      <c r="A39" s="20"/>
      <c r="B39" s="24" t="s">
        <v>52</v>
      </c>
      <c r="C39" s="24"/>
      <c r="D39" s="24"/>
      <c r="E39" s="24"/>
      <c r="F39" s="24"/>
      <c r="G39" s="24"/>
      <c r="H39" s="20"/>
      <c r="I39" s="27">
        <v>0.02</v>
      </c>
      <c r="J39" s="20"/>
      <c r="K39" s="20"/>
      <c r="L39" s="20"/>
      <c r="M39" s="20"/>
      <c r="N39" s="20"/>
    </row>
    <row r="40" spans="1:14" ht="12.75">
      <c r="A40" s="33"/>
      <c r="B40" s="24" t="s">
        <v>53</v>
      </c>
      <c r="C40" s="24"/>
      <c r="D40" s="24"/>
      <c r="E40" s="24"/>
      <c r="F40" s="24"/>
      <c r="G40" s="24"/>
      <c r="H40" s="20"/>
      <c r="I40" s="27">
        <v>0.01</v>
      </c>
      <c r="J40" s="20"/>
      <c r="K40" s="20"/>
      <c r="L40" s="20"/>
      <c r="M40" s="20"/>
      <c r="N40" s="20"/>
    </row>
    <row r="41" spans="1:14" ht="12.75">
      <c r="A41" s="20"/>
      <c r="B41" s="20"/>
      <c r="C41" s="20"/>
      <c r="D41" s="20"/>
      <c r="E41" s="20"/>
      <c r="F41" s="20"/>
      <c r="G41" s="20"/>
      <c r="H41" s="20"/>
      <c r="I41" s="27"/>
      <c r="J41" s="20"/>
      <c r="K41" s="20"/>
      <c r="L41" s="20"/>
      <c r="M41" s="20"/>
      <c r="N41" s="20"/>
    </row>
    <row r="42" spans="1:14" ht="13.5" customHeight="1">
      <c r="A42" s="34" t="s">
        <v>78</v>
      </c>
      <c r="B42" s="34"/>
      <c r="C42" s="34"/>
      <c r="D42" s="34"/>
      <c r="E42" s="34"/>
      <c r="F42" s="34"/>
      <c r="G42" s="34"/>
      <c r="H42" s="34"/>
      <c r="I42" s="10">
        <v>0.02</v>
      </c>
      <c r="J42" s="20"/>
      <c r="K42" s="20"/>
      <c r="L42" s="20"/>
      <c r="M42" s="20"/>
      <c r="N42" s="20"/>
    </row>
    <row r="43" spans="1:14" ht="12.75" customHeight="1">
      <c r="A43" s="35"/>
      <c r="B43" s="36"/>
      <c r="C43" s="36"/>
      <c r="D43" s="36"/>
      <c r="E43" s="36"/>
      <c r="F43" s="36"/>
      <c r="G43" s="36"/>
      <c r="H43" s="36"/>
      <c r="I43" s="28"/>
      <c r="J43" s="20"/>
      <c r="K43" s="20"/>
      <c r="L43" s="20"/>
      <c r="M43" s="20"/>
      <c r="N43" s="20"/>
    </row>
    <row r="44" spans="1:14" ht="84.75" customHeight="1">
      <c r="A44" s="37" t="s">
        <v>22</v>
      </c>
      <c r="B44" s="37"/>
      <c r="C44" s="37"/>
      <c r="D44" s="37"/>
      <c r="E44" s="37"/>
      <c r="F44" s="37"/>
      <c r="G44" s="37"/>
      <c r="H44" s="37"/>
      <c r="I44" s="37"/>
      <c r="J44" s="37"/>
      <c r="K44" s="37"/>
      <c r="L44" s="37"/>
      <c r="M44" s="37"/>
      <c r="N44" s="37"/>
    </row>
    <row r="45" spans="1:14" ht="12" customHeight="1">
      <c r="A45" s="38"/>
      <c r="B45" s="38"/>
      <c r="C45" s="38"/>
      <c r="D45" s="38"/>
      <c r="E45" s="38"/>
      <c r="F45" s="38"/>
      <c r="G45" s="38"/>
      <c r="H45" s="38"/>
      <c r="I45" s="38"/>
      <c r="J45" s="38"/>
      <c r="K45" s="38"/>
      <c r="L45" s="38"/>
      <c r="M45" s="38"/>
      <c r="N45" s="38"/>
    </row>
    <row r="46" spans="1:14" ht="23.25" customHeight="1">
      <c r="A46" s="39" t="s">
        <v>41</v>
      </c>
      <c r="B46" s="39"/>
      <c r="C46" s="39"/>
      <c r="D46" s="39"/>
      <c r="E46" s="39"/>
      <c r="F46" s="39"/>
      <c r="G46" s="11">
        <v>0.5</v>
      </c>
      <c r="H46" s="20" t="s">
        <v>74</v>
      </c>
      <c r="I46" s="20"/>
      <c r="J46" s="24" t="s">
        <v>42</v>
      </c>
      <c r="K46" s="24"/>
      <c r="L46" s="24"/>
      <c r="M46" s="24"/>
      <c r="N46" s="24"/>
    </row>
    <row r="47" spans="1:14" ht="16.5" customHeight="1">
      <c r="A47" s="35"/>
      <c r="B47" s="34" t="s">
        <v>39</v>
      </c>
      <c r="C47" s="34"/>
      <c r="D47" s="34"/>
      <c r="E47" s="34"/>
      <c r="F47" s="34"/>
      <c r="G47" s="40">
        <f>1000*TAN(RADIANS($G$46))/2</f>
        <v>4.363433895379394</v>
      </c>
      <c r="H47" s="41" t="s">
        <v>37</v>
      </c>
      <c r="I47" s="42">
        <f>36*TAN(RADIANS($G$46))/2</f>
        <v>0.1570836202336582</v>
      </c>
      <c r="J47" s="43" t="s">
        <v>38</v>
      </c>
      <c r="K47" s="44" t="s">
        <v>9</v>
      </c>
      <c r="L47" s="45">
        <f>2*1/(TAN(RADIANS($G$46)))</f>
        <v>229.17730025861923</v>
      </c>
      <c r="M47" s="20"/>
      <c r="N47" s="20"/>
    </row>
    <row r="48" spans="1:14" ht="15" customHeight="1">
      <c r="A48" s="35"/>
      <c r="B48" s="34" t="s">
        <v>40</v>
      </c>
      <c r="C48" s="34"/>
      <c r="D48" s="34"/>
      <c r="E48" s="34"/>
      <c r="F48" s="34"/>
      <c r="G48" s="40">
        <f>1000*TAN(RADIANS($G$46))</f>
        <v>8.726867790758789</v>
      </c>
      <c r="H48" s="41" t="s">
        <v>37</v>
      </c>
      <c r="I48" s="42">
        <f>36*TAN(RADIANS($G$46))</f>
        <v>0.3141672404673164</v>
      </c>
      <c r="J48" s="43" t="s">
        <v>38</v>
      </c>
      <c r="K48" s="44" t="s">
        <v>9</v>
      </c>
      <c r="L48" s="45">
        <f>1/(TAN(RADIANS($G$46)))</f>
        <v>114.58865012930961</v>
      </c>
      <c r="M48" s="20"/>
      <c r="N48" s="20"/>
    </row>
    <row r="49" spans="1:14" ht="12.75" customHeight="1">
      <c r="A49" s="35"/>
      <c r="B49" s="36"/>
      <c r="C49" s="20"/>
      <c r="D49" s="36"/>
      <c r="E49" s="36"/>
      <c r="F49" s="36"/>
      <c r="G49" s="36"/>
      <c r="H49" s="36"/>
      <c r="I49" s="28"/>
      <c r="J49" s="20"/>
      <c r="K49" s="20"/>
      <c r="L49" s="20"/>
      <c r="M49" s="20"/>
      <c r="N49" s="20"/>
    </row>
    <row r="50" spans="1:14" ht="66" customHeight="1">
      <c r="A50" s="46" t="s">
        <v>43</v>
      </c>
      <c r="B50" s="36"/>
      <c r="C50" s="19"/>
      <c r="D50" s="47" t="s">
        <v>23</v>
      </c>
      <c r="E50" s="47"/>
      <c r="F50" s="47"/>
      <c r="G50" s="47"/>
      <c r="H50" s="48" t="s">
        <v>117</v>
      </c>
      <c r="I50" s="48"/>
      <c r="J50" s="48"/>
      <c r="K50" s="48"/>
      <c r="L50" s="48"/>
      <c r="M50" s="48"/>
      <c r="N50" s="48"/>
    </row>
    <row r="51" spans="1:14" ht="48.75" customHeight="1">
      <c r="A51" s="46"/>
      <c r="B51" s="36"/>
      <c r="C51" s="36"/>
      <c r="D51" s="49" t="s">
        <v>46</v>
      </c>
      <c r="E51" s="50"/>
      <c r="F51" s="50" t="s">
        <v>107</v>
      </c>
      <c r="G51" s="50"/>
      <c r="H51" s="51" t="s">
        <v>116</v>
      </c>
      <c r="I51" s="51"/>
      <c r="J51" s="52"/>
      <c r="K51" s="53" t="s">
        <v>47</v>
      </c>
      <c r="L51" s="53"/>
      <c r="M51" s="52"/>
      <c r="N51" s="54" t="s">
        <v>36</v>
      </c>
    </row>
    <row r="52" spans="1:15" ht="12.75" customHeight="1">
      <c r="A52" s="35"/>
      <c r="B52" s="36"/>
      <c r="C52" s="36"/>
      <c r="D52" s="55" t="s">
        <v>71</v>
      </c>
      <c r="E52" s="56" t="s">
        <v>62</v>
      </c>
      <c r="F52" s="55" t="s">
        <v>69</v>
      </c>
      <c r="G52" s="56" t="s">
        <v>66</v>
      </c>
      <c r="H52" s="25" t="s">
        <v>62</v>
      </c>
      <c r="I52" s="57" t="s">
        <v>71</v>
      </c>
      <c r="J52" s="52"/>
      <c r="K52" s="58" t="s">
        <v>66</v>
      </c>
      <c r="L52" s="57" t="s">
        <v>69</v>
      </c>
      <c r="M52" s="59"/>
      <c r="N52" s="60" t="s">
        <v>62</v>
      </c>
      <c r="O52" s="4"/>
    </row>
    <row r="53" spans="1:15" ht="12.75" customHeight="1">
      <c r="A53" s="20"/>
      <c r="B53" s="39" t="s">
        <v>105</v>
      </c>
      <c r="C53" s="39"/>
      <c r="D53" s="61">
        <f>F76</f>
        <v>3.5292477520432497</v>
      </c>
      <c r="E53" s="31">
        <f>F82</f>
        <v>89.64289290189853</v>
      </c>
      <c r="F53" s="30">
        <f>F79</f>
        <v>26.600780152300157</v>
      </c>
      <c r="G53" s="62">
        <f>F85</f>
        <v>8.109993948871999</v>
      </c>
      <c r="H53" s="12">
        <v>100</v>
      </c>
      <c r="I53" s="13">
        <f>H53/25.4</f>
        <v>3.937007874015748</v>
      </c>
      <c r="J53" s="52"/>
      <c r="K53" s="64">
        <f>(3*L84)/((2*TAN(RADIANS($G$46/2)))+(TAN(RADIANS($G$46))))/1000</f>
        <v>9.505009656895771</v>
      </c>
      <c r="L53" s="65">
        <f>3.28*K53</f>
        <v>31.176431674618126</v>
      </c>
      <c r="M53" s="59"/>
      <c r="N53" s="66">
        <f>N82</f>
        <v>157.0795</v>
      </c>
      <c r="O53" s="4"/>
    </row>
    <row r="54" spans="1:15" ht="12.75" customHeight="1">
      <c r="A54" s="10">
        <v>90</v>
      </c>
      <c r="B54" s="67" t="s">
        <v>106</v>
      </c>
      <c r="C54" s="67"/>
      <c r="D54" s="61">
        <f>F91</f>
        <v>3.7160465650690204</v>
      </c>
      <c r="E54" s="31">
        <f>F98</f>
        <v>94.38758275275312</v>
      </c>
      <c r="F54" s="30">
        <f>F94</f>
        <v>28.757142240590216</v>
      </c>
      <c r="G54" s="62">
        <f>F101</f>
        <v>8.767421414814091</v>
      </c>
      <c r="H54" s="12">
        <v>100</v>
      </c>
      <c r="I54" s="13">
        <f>H54/25.4</f>
        <v>3.937007874015748</v>
      </c>
      <c r="J54" s="52"/>
      <c r="K54" s="64">
        <f>L101</f>
        <v>9.505009656895771</v>
      </c>
      <c r="L54" s="65">
        <f>3.28*K54</f>
        <v>31.176431674618126</v>
      </c>
      <c r="M54" s="59"/>
      <c r="N54" s="66">
        <f>N97</f>
        <v>141.4213562373095</v>
      </c>
      <c r="O54" s="4"/>
    </row>
    <row r="55" spans="1:15" ht="12.75" customHeight="1">
      <c r="A55" s="35"/>
      <c r="B55" s="67" t="s">
        <v>90</v>
      </c>
      <c r="C55" s="67"/>
      <c r="D55" s="61">
        <f>F106</f>
        <v>1.615540744886593</v>
      </c>
      <c r="E55" s="31">
        <f>F113</f>
        <v>41.03473492011946</v>
      </c>
      <c r="F55" s="30">
        <f>F110</f>
        <v>1.5653885009875819</v>
      </c>
      <c r="G55" s="62">
        <f>F117</f>
        <v>0.4772525917645067</v>
      </c>
      <c r="H55" s="12">
        <v>100</v>
      </c>
      <c r="I55" s="13">
        <f>H55/25.4</f>
        <v>3.937007874015748</v>
      </c>
      <c r="J55" s="52"/>
      <c r="K55" s="64">
        <f>L117</f>
        <v>9.505009656895771</v>
      </c>
      <c r="L55" s="65">
        <f>3.28*K55</f>
        <v>31.176431674618126</v>
      </c>
      <c r="M55" s="59"/>
      <c r="N55" s="60">
        <f>N113</f>
        <v>300</v>
      </c>
      <c r="O55" s="4"/>
    </row>
    <row r="56" spans="1:15" ht="12.75" customHeight="1">
      <c r="A56" s="35"/>
      <c r="B56" s="67" t="s">
        <v>24</v>
      </c>
      <c r="C56" s="67"/>
      <c r="D56" s="61">
        <f>F123</f>
        <v>2.910452292675619</v>
      </c>
      <c r="E56" s="31">
        <f>F130</f>
        <v>73.92548823396072</v>
      </c>
      <c r="F56" s="30">
        <f>F126</f>
        <v>18.57946824276787</v>
      </c>
      <c r="G56" s="62">
        <f>F133</f>
        <v>5.664472025234107</v>
      </c>
      <c r="H56" s="12">
        <v>100</v>
      </c>
      <c r="I56" s="13">
        <f>H56/25.4</f>
        <v>3.937007874015748</v>
      </c>
      <c r="J56" s="52"/>
      <c r="K56" s="64">
        <f>L133</f>
        <v>9.505009656895771</v>
      </c>
      <c r="L56" s="65">
        <f>3.28*K56</f>
        <v>31.176431674618126</v>
      </c>
      <c r="M56" s="59"/>
      <c r="N56" s="66">
        <f>N129</f>
        <v>150</v>
      </c>
      <c r="O56" s="4"/>
    </row>
    <row r="57" spans="1:15" ht="12.75" customHeight="1">
      <c r="A57" s="35"/>
      <c r="B57" s="68"/>
      <c r="C57" s="68"/>
      <c r="D57" s="69"/>
      <c r="E57" s="70"/>
      <c r="F57" s="71"/>
      <c r="G57" s="71"/>
      <c r="H57" s="72"/>
      <c r="I57" s="69"/>
      <c r="J57" s="29"/>
      <c r="K57" s="71"/>
      <c r="L57" s="73"/>
      <c r="M57" s="74"/>
      <c r="N57" s="74"/>
      <c r="O57" s="4"/>
    </row>
    <row r="58" spans="1:15" ht="19.5" customHeight="1">
      <c r="A58" s="75" t="s">
        <v>45</v>
      </c>
      <c r="B58" s="39"/>
      <c r="C58" s="39"/>
      <c r="D58" s="39"/>
      <c r="E58" s="39"/>
      <c r="F58" s="39"/>
      <c r="G58" s="39"/>
      <c r="H58" s="72"/>
      <c r="I58" s="69"/>
      <c r="J58" s="29"/>
      <c r="K58" s="71"/>
      <c r="L58" s="73"/>
      <c r="M58" s="74"/>
      <c r="N58" s="74"/>
      <c r="O58" s="4"/>
    </row>
    <row r="59" spans="1:15" ht="6.75" customHeight="1">
      <c r="A59" s="35"/>
      <c r="B59" s="68"/>
      <c r="C59" s="68"/>
      <c r="D59" s="69"/>
      <c r="E59" s="70"/>
      <c r="F59" s="71"/>
      <c r="G59" s="71"/>
      <c r="H59" s="70"/>
      <c r="I59" s="69"/>
      <c r="J59" s="71"/>
      <c r="K59" s="73"/>
      <c r="L59" s="76"/>
      <c r="M59" s="76"/>
      <c r="N59" s="76"/>
      <c r="O59" s="4"/>
    </row>
    <row r="60" spans="1:17" ht="54.75" customHeight="1">
      <c r="A60" s="23" t="s">
        <v>10</v>
      </c>
      <c r="B60" s="23"/>
      <c r="C60" s="23"/>
      <c r="D60" s="23"/>
      <c r="E60" s="23"/>
      <c r="F60" s="23"/>
      <c r="G60" s="23"/>
      <c r="H60" s="23"/>
      <c r="I60" s="23"/>
      <c r="J60" s="23"/>
      <c r="K60" s="23"/>
      <c r="L60" s="23"/>
      <c r="M60" s="23"/>
      <c r="N60" s="23"/>
      <c r="O60" s="4"/>
      <c r="P60" s="6"/>
      <c r="Q60" s="6"/>
    </row>
    <row r="61" spans="1:15" ht="12.75" customHeight="1">
      <c r="A61" s="19"/>
      <c r="B61" s="19"/>
      <c r="C61" s="19"/>
      <c r="D61" s="19"/>
      <c r="E61" s="19"/>
      <c r="F61" s="19"/>
      <c r="G61" s="19"/>
      <c r="H61" s="19"/>
      <c r="I61" s="77"/>
      <c r="J61" s="19"/>
      <c r="K61" s="19"/>
      <c r="L61" s="76"/>
      <c r="M61" s="76"/>
      <c r="N61" s="76"/>
      <c r="O61" s="4"/>
    </row>
    <row r="62" spans="1:17" ht="61.5" customHeight="1">
      <c r="A62" s="23" t="s">
        <v>25</v>
      </c>
      <c r="B62" s="23"/>
      <c r="C62" s="23"/>
      <c r="D62" s="23"/>
      <c r="E62" s="23"/>
      <c r="F62" s="23"/>
      <c r="G62" s="23"/>
      <c r="H62" s="23"/>
      <c r="I62" s="23"/>
      <c r="J62" s="23"/>
      <c r="K62" s="23"/>
      <c r="L62" s="23"/>
      <c r="M62" s="23"/>
      <c r="N62" s="23"/>
      <c r="O62" s="4"/>
      <c r="P62" s="6"/>
      <c r="Q62" s="6"/>
    </row>
    <row r="63" spans="1:17" ht="73.5" customHeight="1">
      <c r="A63" s="19">
        <v>1</v>
      </c>
      <c r="B63" s="23" t="s">
        <v>26</v>
      </c>
      <c r="C63" s="23"/>
      <c r="D63" s="23"/>
      <c r="E63" s="23"/>
      <c r="F63" s="23"/>
      <c r="G63" s="23"/>
      <c r="H63" s="23"/>
      <c r="I63" s="23"/>
      <c r="J63" s="23"/>
      <c r="K63" s="23"/>
      <c r="L63" s="23"/>
      <c r="M63" s="23"/>
      <c r="N63" s="23"/>
      <c r="O63" s="4"/>
      <c r="P63" s="6"/>
      <c r="Q63" s="6"/>
    </row>
    <row r="64" spans="1:17" ht="22.5" customHeight="1">
      <c r="A64" s="19">
        <v>2</v>
      </c>
      <c r="B64" s="23" t="s">
        <v>0</v>
      </c>
      <c r="C64" s="23"/>
      <c r="D64" s="23"/>
      <c r="E64" s="23"/>
      <c r="F64" s="23"/>
      <c r="G64" s="23"/>
      <c r="H64" s="23"/>
      <c r="I64" s="23"/>
      <c r="J64" s="23"/>
      <c r="K64" s="23"/>
      <c r="L64" s="23"/>
      <c r="M64" s="23"/>
      <c r="N64" s="23"/>
      <c r="O64" s="4"/>
      <c r="P64" s="6"/>
      <c r="Q64" s="6"/>
    </row>
    <row r="65" spans="1:17" ht="20.25" customHeight="1">
      <c r="A65" s="19">
        <v>3</v>
      </c>
      <c r="B65" s="23" t="s">
        <v>1</v>
      </c>
      <c r="C65" s="23"/>
      <c r="D65" s="23"/>
      <c r="E65" s="23"/>
      <c r="F65" s="23"/>
      <c r="G65" s="23"/>
      <c r="H65" s="23"/>
      <c r="I65" s="23"/>
      <c r="J65" s="23"/>
      <c r="K65" s="23"/>
      <c r="L65" s="23"/>
      <c r="M65" s="23"/>
      <c r="N65" s="23"/>
      <c r="O65" s="4"/>
      <c r="P65" s="6"/>
      <c r="Q65" s="6"/>
    </row>
    <row r="66" spans="1:17" ht="42.75" customHeight="1">
      <c r="A66" s="23" t="s">
        <v>27</v>
      </c>
      <c r="B66" s="23"/>
      <c r="C66" s="23"/>
      <c r="D66" s="23"/>
      <c r="E66" s="23"/>
      <c r="F66" s="23"/>
      <c r="G66" s="23"/>
      <c r="H66" s="23"/>
      <c r="I66" s="23"/>
      <c r="J66" s="23"/>
      <c r="K66" s="23"/>
      <c r="L66" s="23"/>
      <c r="M66" s="23"/>
      <c r="N66" s="23"/>
      <c r="O66" s="4"/>
      <c r="P66" s="6"/>
      <c r="Q66" s="6"/>
    </row>
    <row r="67" spans="1:17" ht="9.75" customHeight="1">
      <c r="A67" s="19"/>
      <c r="B67" s="19"/>
      <c r="C67" s="19"/>
      <c r="D67" s="19"/>
      <c r="E67" s="19"/>
      <c r="F67" s="19"/>
      <c r="G67" s="19"/>
      <c r="H67" s="19"/>
      <c r="I67" s="19"/>
      <c r="J67" s="19"/>
      <c r="K67" s="19"/>
      <c r="L67" s="19"/>
      <c r="M67" s="19"/>
      <c r="N67" s="19"/>
      <c r="O67" s="4"/>
      <c r="P67" s="6"/>
      <c r="Q67" s="6"/>
    </row>
    <row r="68" spans="1:17" ht="18.75" customHeight="1">
      <c r="A68" s="21" t="s">
        <v>11</v>
      </c>
      <c r="B68" s="21"/>
      <c r="C68" s="21"/>
      <c r="D68" s="21"/>
      <c r="E68" s="21"/>
      <c r="F68" s="21"/>
      <c r="G68" s="21"/>
      <c r="H68" s="21"/>
      <c r="I68" s="21"/>
      <c r="J68" s="21"/>
      <c r="K68" s="21"/>
      <c r="L68" s="21"/>
      <c r="M68" s="21"/>
      <c r="N68" s="21"/>
      <c r="O68" s="4"/>
      <c r="P68" s="6"/>
      <c r="Q68" s="6"/>
    </row>
    <row r="69" spans="1:15" ht="26.25" customHeight="1">
      <c r="A69" s="78" t="s">
        <v>12</v>
      </c>
      <c r="B69" s="78"/>
      <c r="C69" s="78"/>
      <c r="D69" s="78"/>
      <c r="E69" s="78"/>
      <c r="F69" s="78"/>
      <c r="G69" s="78"/>
      <c r="H69" s="78"/>
      <c r="I69" s="78"/>
      <c r="J69" s="78"/>
      <c r="K69" s="78"/>
      <c r="L69" s="78"/>
      <c r="M69" s="78"/>
      <c r="N69" s="78"/>
      <c r="O69" s="4"/>
    </row>
    <row r="70" spans="1:14" ht="12.75">
      <c r="A70" s="20"/>
      <c r="B70" s="20"/>
      <c r="C70" s="20"/>
      <c r="D70" s="20"/>
      <c r="E70" s="20"/>
      <c r="F70" s="20"/>
      <c r="G70" s="20"/>
      <c r="H70" s="20"/>
      <c r="I70" s="20"/>
      <c r="J70" s="20"/>
      <c r="K70" s="20"/>
      <c r="L70" s="20"/>
      <c r="M70" s="20"/>
      <c r="N70" s="20"/>
    </row>
    <row r="71" spans="1:14" ht="15" customHeight="1">
      <c r="A71" s="20"/>
      <c r="B71" s="20"/>
      <c r="C71" s="79" t="s">
        <v>33</v>
      </c>
      <c r="D71" s="79"/>
      <c r="E71" s="79"/>
      <c r="F71" s="79"/>
      <c r="G71" s="79"/>
      <c r="H71" s="79"/>
      <c r="I71" s="79"/>
      <c r="J71" s="79"/>
      <c r="K71" s="79"/>
      <c r="L71" s="20"/>
      <c r="M71" s="20"/>
      <c r="N71" s="20"/>
    </row>
    <row r="72" spans="1:15" ht="12" customHeight="1">
      <c r="A72" s="20"/>
      <c r="B72" s="20"/>
      <c r="C72" s="20"/>
      <c r="D72" s="20"/>
      <c r="E72" s="20"/>
      <c r="F72" s="20"/>
      <c r="G72" s="20"/>
      <c r="H72" s="20"/>
      <c r="I72" s="20"/>
      <c r="J72" s="20"/>
      <c r="K72" s="20"/>
      <c r="L72" s="20"/>
      <c r="M72" s="76"/>
      <c r="N72" s="76"/>
      <c r="O72" s="4"/>
    </row>
    <row r="73" spans="1:15" ht="13.5" customHeight="1">
      <c r="A73" s="50" t="s">
        <v>32</v>
      </c>
      <c r="B73" s="50"/>
      <c r="C73" s="50"/>
      <c r="D73" s="50"/>
      <c r="E73" s="50"/>
      <c r="F73" s="50"/>
      <c r="G73" s="50"/>
      <c r="H73" s="50"/>
      <c r="I73" s="50"/>
      <c r="J73" s="50"/>
      <c r="K73" s="20"/>
      <c r="L73" s="20"/>
      <c r="M73" s="76"/>
      <c r="N73" s="76"/>
      <c r="O73" s="4"/>
    </row>
    <row r="74" spans="1:14" ht="11.25" customHeight="1">
      <c r="A74" s="20"/>
      <c r="B74" s="20"/>
      <c r="C74" s="20"/>
      <c r="D74" s="80"/>
      <c r="E74" s="80"/>
      <c r="F74" s="80"/>
      <c r="G74" s="80"/>
      <c r="H74" s="68"/>
      <c r="I74" s="27"/>
      <c r="J74" s="71"/>
      <c r="K74" s="20"/>
      <c r="L74" s="20"/>
      <c r="M74" s="20"/>
      <c r="N74" s="20"/>
    </row>
    <row r="75" spans="1:14" ht="13.5" customHeight="1">
      <c r="A75" s="43"/>
      <c r="B75" s="61">
        <f>F76</f>
        <v>3.5292477520432497</v>
      </c>
      <c r="C75" s="43"/>
      <c r="D75" s="81" t="s">
        <v>76</v>
      </c>
      <c r="E75" s="80"/>
      <c r="F75" s="61"/>
      <c r="G75" s="80"/>
      <c r="H75" s="80"/>
      <c r="I75" s="55"/>
      <c r="J75" s="30"/>
      <c r="K75" s="20"/>
      <c r="L75" s="82" t="s">
        <v>13</v>
      </c>
      <c r="M75" s="83"/>
      <c r="N75" s="83"/>
    </row>
    <row r="76" spans="1:14" ht="45" customHeight="1">
      <c r="A76" s="43"/>
      <c r="B76" s="43"/>
      <c r="C76" s="43"/>
      <c r="D76" s="50" t="s">
        <v>54</v>
      </c>
      <c r="E76" s="50"/>
      <c r="F76" s="61">
        <f>12*(POWER(($D$31/(419.64*SQRT(TAN(RADIANS($G$46)))))*POWER($I$42,0.5),0.4))</f>
        <v>3.5292477520432497</v>
      </c>
      <c r="G76" s="43" t="s">
        <v>57</v>
      </c>
      <c r="H76" s="84" t="s">
        <v>83</v>
      </c>
      <c r="I76" s="84"/>
      <c r="J76" s="61">
        <f>3.14159*F76/2</f>
        <v>5.543724722670776</v>
      </c>
      <c r="K76" s="20"/>
      <c r="L76" s="85">
        <f>I53</f>
        <v>3.937007874015748</v>
      </c>
      <c r="M76" s="86" t="s">
        <v>57</v>
      </c>
      <c r="N76" s="63">
        <f>3.14159*L76/2</f>
        <v>6.184232283464567</v>
      </c>
    </row>
    <row r="77" spans="1:14" ht="37.5" customHeight="1">
      <c r="A77" s="87" t="s">
        <v>101</v>
      </c>
      <c r="B77" s="87"/>
      <c r="C77" s="87"/>
      <c r="D77" s="88" t="s">
        <v>73</v>
      </c>
      <c r="E77" s="88"/>
      <c r="F77" s="61">
        <f>F76-0.875</f>
        <v>2.6542477520432497</v>
      </c>
      <c r="G77" s="43" t="s">
        <v>57</v>
      </c>
      <c r="H77" s="88" t="s">
        <v>68</v>
      </c>
      <c r="I77" s="88"/>
      <c r="J77" s="88"/>
      <c r="K77" s="20"/>
      <c r="L77" s="89">
        <f>L83/25.4</f>
        <v>3.0314960629921264</v>
      </c>
      <c r="M77" s="86" t="s">
        <v>57</v>
      </c>
      <c r="N77" s="90" t="s">
        <v>35</v>
      </c>
    </row>
    <row r="78" spans="1:14" ht="41.25" customHeight="1">
      <c r="A78" s="43"/>
      <c r="B78" s="43"/>
      <c r="C78" s="43"/>
      <c r="D78" s="88" t="s">
        <v>81</v>
      </c>
      <c r="E78" s="88"/>
      <c r="F78" s="61">
        <f>F84/25.4</f>
        <v>1.8575897963392454</v>
      </c>
      <c r="G78" s="43" t="s">
        <v>57</v>
      </c>
      <c r="H78" s="88" t="s">
        <v>79</v>
      </c>
      <c r="I78" s="88"/>
      <c r="J78" s="88"/>
      <c r="K78" s="20"/>
      <c r="L78" s="89">
        <f>L84/25.4</f>
        <v>2.177117401574802</v>
      </c>
      <c r="M78" s="86" t="s">
        <v>57</v>
      </c>
      <c r="N78" s="90"/>
    </row>
    <row r="79" spans="1:14" ht="51.75" customHeight="1">
      <c r="A79" s="43"/>
      <c r="B79" s="43"/>
      <c r="C79" s="43"/>
      <c r="D79" s="91" t="s">
        <v>82</v>
      </c>
      <c r="E79" s="91"/>
      <c r="F79" s="92">
        <f>3.28*F85</f>
        <v>26.600780152300157</v>
      </c>
      <c r="G79" s="43" t="s">
        <v>69</v>
      </c>
      <c r="H79" s="88" t="s">
        <v>98</v>
      </c>
      <c r="I79" s="88"/>
      <c r="J79" s="88"/>
      <c r="K79" s="20"/>
      <c r="L79" s="93">
        <f>L53</f>
        <v>31.176431674618126</v>
      </c>
      <c r="M79" s="94" t="s">
        <v>94</v>
      </c>
      <c r="N79" s="90"/>
    </row>
    <row r="80" spans="1:14" ht="12" customHeight="1">
      <c r="A80" s="20"/>
      <c r="B80" s="20"/>
      <c r="C80" s="20"/>
      <c r="D80" s="95"/>
      <c r="E80" s="95"/>
      <c r="F80" s="96"/>
      <c r="G80" s="29"/>
      <c r="H80" s="29"/>
      <c r="I80" s="29"/>
      <c r="J80" s="29"/>
      <c r="K80" s="20"/>
      <c r="L80" s="20"/>
      <c r="M80" s="20"/>
      <c r="N80" s="20"/>
    </row>
    <row r="81" spans="1:14" ht="12.75">
      <c r="A81" s="41"/>
      <c r="B81" s="31">
        <f>F82</f>
        <v>89.64289290189853</v>
      </c>
      <c r="C81" s="41"/>
      <c r="D81" s="97" t="s">
        <v>77</v>
      </c>
      <c r="E81" s="41"/>
      <c r="F81" s="41"/>
      <c r="G81" s="41"/>
      <c r="H81" s="41"/>
      <c r="I81" s="41"/>
      <c r="J81" s="41"/>
      <c r="K81" s="20"/>
      <c r="L81" s="98" t="s">
        <v>13</v>
      </c>
      <c r="M81" s="99"/>
      <c r="N81" s="99"/>
    </row>
    <row r="82" spans="1:14" ht="39" customHeight="1">
      <c r="A82" s="41"/>
      <c r="B82" s="41"/>
      <c r="C82" s="41"/>
      <c r="D82" s="100" t="s">
        <v>54</v>
      </c>
      <c r="E82" s="100"/>
      <c r="F82" s="31">
        <f>F76*25.4</f>
        <v>89.64289290189853</v>
      </c>
      <c r="G82" s="41" t="s">
        <v>62</v>
      </c>
      <c r="H82" s="101" t="s">
        <v>85</v>
      </c>
      <c r="I82" s="101"/>
      <c r="J82" s="31">
        <f>J76*25.4</f>
        <v>140.8106079558377</v>
      </c>
      <c r="K82" s="102"/>
      <c r="L82" s="103">
        <f>H53</f>
        <v>100</v>
      </c>
      <c r="M82" s="45" t="s">
        <v>62</v>
      </c>
      <c r="N82" s="104">
        <f>3.14159*L82/2</f>
        <v>157.0795</v>
      </c>
    </row>
    <row r="83" spans="1:14" ht="43.5" customHeight="1">
      <c r="A83" s="105" t="s">
        <v>102</v>
      </c>
      <c r="B83" s="105"/>
      <c r="C83" s="105"/>
      <c r="D83" s="106" t="s">
        <v>75</v>
      </c>
      <c r="E83" s="106"/>
      <c r="F83" s="31">
        <f>F82-23</f>
        <v>66.64289290189853</v>
      </c>
      <c r="G83" s="41" t="s">
        <v>62</v>
      </c>
      <c r="H83" s="106" t="s">
        <v>67</v>
      </c>
      <c r="I83" s="106"/>
      <c r="J83" s="106"/>
      <c r="K83" s="102"/>
      <c r="L83" s="103">
        <f>H53-23</f>
        <v>77</v>
      </c>
      <c r="M83" s="45" t="s">
        <v>62</v>
      </c>
      <c r="N83" s="58"/>
    </row>
    <row r="84" spans="1:14" ht="32.25" customHeight="1">
      <c r="A84" s="56"/>
      <c r="B84" s="56"/>
      <c r="C84" s="56"/>
      <c r="D84" s="106" t="s">
        <v>80</v>
      </c>
      <c r="E84" s="106"/>
      <c r="F84" s="107">
        <f>(0.000002*POWER(F83,4))-(0.0005*POWER(F83,3))+(0.0418*POWER(F83,2))-(0.449*F83)</f>
        <v>47.18278082701683</v>
      </c>
      <c r="G84" s="41" t="s">
        <v>62</v>
      </c>
      <c r="H84" s="106" t="s">
        <v>84</v>
      </c>
      <c r="I84" s="106"/>
      <c r="J84" s="106"/>
      <c r="K84" s="102"/>
      <c r="L84" s="108">
        <f>(0.000002*POWER(L83,4))-(0.0005*POWER(L83,3))+(0.0418*POWER(L83,2))-(0.449*L83)</f>
        <v>55.29878199999997</v>
      </c>
      <c r="M84" s="45" t="s">
        <v>62</v>
      </c>
      <c r="N84" s="58"/>
    </row>
    <row r="85" spans="1:14" ht="51.75" customHeight="1">
      <c r="A85" s="41"/>
      <c r="B85" s="41"/>
      <c r="C85" s="41"/>
      <c r="D85" s="109" t="s">
        <v>82</v>
      </c>
      <c r="E85" s="109"/>
      <c r="F85" s="62">
        <f>(3*F84)/((2*TAN(RADIANS($G$46/2)))+(TAN(RADIANS(G46))))/1000</f>
        <v>8.109993948871999</v>
      </c>
      <c r="G85" s="41" t="s">
        <v>66</v>
      </c>
      <c r="H85" s="106" t="s">
        <v>98</v>
      </c>
      <c r="I85" s="106"/>
      <c r="J85" s="106"/>
      <c r="K85" s="102"/>
      <c r="L85" s="110">
        <f>K53</f>
        <v>9.505009656895771</v>
      </c>
      <c r="M85" s="45" t="s">
        <v>93</v>
      </c>
      <c r="N85" s="58"/>
    </row>
    <row r="86" spans="1:14" ht="12.75">
      <c r="A86" s="20"/>
      <c r="B86" s="20"/>
      <c r="C86" s="20"/>
      <c r="D86" s="20"/>
      <c r="E86" s="20"/>
      <c r="F86" s="20"/>
      <c r="G86" s="20"/>
      <c r="H86" s="20"/>
      <c r="I86" s="20"/>
      <c r="J86" s="20"/>
      <c r="K86" s="20"/>
      <c r="L86" s="20"/>
      <c r="M86" s="20"/>
      <c r="N86" s="20"/>
    </row>
    <row r="87" spans="1:14" ht="12.75">
      <c r="A87" s="20"/>
      <c r="B87" s="20"/>
      <c r="C87" s="20"/>
      <c r="D87" s="20"/>
      <c r="E87" s="20"/>
      <c r="F87" s="20"/>
      <c r="G87" s="20"/>
      <c r="H87" s="20"/>
      <c r="I87" s="20"/>
      <c r="J87" s="20"/>
      <c r="K87" s="20"/>
      <c r="L87" s="20"/>
      <c r="M87" s="20"/>
      <c r="N87" s="20"/>
    </row>
    <row r="88" spans="1:14" ht="12.75">
      <c r="A88" s="20"/>
      <c r="B88" s="20"/>
      <c r="C88" s="20"/>
      <c r="D88" s="20"/>
      <c r="E88" s="20"/>
      <c r="F88" s="20"/>
      <c r="G88" s="20"/>
      <c r="H88" s="20"/>
      <c r="I88" s="20"/>
      <c r="J88" s="20"/>
      <c r="K88" s="20"/>
      <c r="L88" s="20"/>
      <c r="M88" s="20"/>
      <c r="N88" s="20"/>
    </row>
    <row r="89" spans="1:15" ht="12.75" customHeight="1">
      <c r="A89" s="43"/>
      <c r="B89" s="43"/>
      <c r="C89" s="43"/>
      <c r="D89" s="81" t="s">
        <v>76</v>
      </c>
      <c r="E89" s="43"/>
      <c r="F89" s="61"/>
      <c r="G89" s="43"/>
      <c r="H89" s="43"/>
      <c r="I89" s="43"/>
      <c r="J89" s="43"/>
      <c r="K89" s="20"/>
      <c r="L89" s="111" t="s">
        <v>13</v>
      </c>
      <c r="M89" s="111"/>
      <c r="N89" s="111"/>
      <c r="O89" s="4"/>
    </row>
    <row r="90" spans="1:15" ht="12.75">
      <c r="A90" s="43"/>
      <c r="B90" s="61">
        <f>F91</f>
        <v>3.7160465650690204</v>
      </c>
      <c r="C90" s="43"/>
      <c r="D90" s="88" t="s">
        <v>55</v>
      </c>
      <c r="E90" s="88"/>
      <c r="F90" s="61">
        <f>(12/0.75)*POWER(($D$31/(1801*SQRT(TAN(RADIANS(G46)))))*(POWER($I$42,0.5))*(POWER(SIN(2*3.14159*(A54/2)/180),-1.5)),0.4)</f>
        <v>2.6276417253652817</v>
      </c>
      <c r="G90" s="43" t="s">
        <v>57</v>
      </c>
      <c r="H90" s="112" t="s">
        <v>86</v>
      </c>
      <c r="I90" s="112"/>
      <c r="J90" s="61">
        <f>2*F90</f>
        <v>5.2552834507305635</v>
      </c>
      <c r="K90" s="20"/>
      <c r="L90" s="85">
        <f>L97/25.4</f>
        <v>2.7838849653013686</v>
      </c>
      <c r="M90" s="86" t="s">
        <v>57</v>
      </c>
      <c r="N90" s="113">
        <f>N97/25.4</f>
        <v>5.567769930602737</v>
      </c>
      <c r="O90" s="4"/>
    </row>
    <row r="91" spans="1:15" ht="69.75" customHeight="1">
      <c r="A91" s="61">
        <f>F90</f>
        <v>2.6276417253652817</v>
      </c>
      <c r="B91" s="55">
        <f>A54</f>
        <v>90</v>
      </c>
      <c r="C91" s="61">
        <f>F90</f>
        <v>2.6276417253652817</v>
      </c>
      <c r="D91" s="88" t="s">
        <v>28</v>
      </c>
      <c r="E91" s="88"/>
      <c r="F91" s="61">
        <f>2*F90*SIN(RADIANS(A54/2))</f>
        <v>3.7160465650690204</v>
      </c>
      <c r="G91" s="43" t="s">
        <v>57</v>
      </c>
      <c r="H91" s="112"/>
      <c r="I91" s="112"/>
      <c r="J91" s="30"/>
      <c r="K91" s="20"/>
      <c r="L91" s="89">
        <f>L98/25.4</f>
        <v>3.937007874015748</v>
      </c>
      <c r="M91" s="86" t="s">
        <v>57</v>
      </c>
      <c r="N91" s="114"/>
      <c r="O91" s="4"/>
    </row>
    <row r="92" spans="1:15" ht="45" customHeight="1">
      <c r="A92" s="115" t="s">
        <v>103</v>
      </c>
      <c r="B92" s="115"/>
      <c r="C92" s="115"/>
      <c r="D92" s="88" t="s">
        <v>73</v>
      </c>
      <c r="E92" s="88"/>
      <c r="F92" s="61">
        <f>F91-0.875</f>
        <v>2.8410465650690204</v>
      </c>
      <c r="G92" s="43" t="s">
        <v>57</v>
      </c>
      <c r="H92" s="88" t="s">
        <v>68</v>
      </c>
      <c r="I92" s="88"/>
      <c r="J92" s="88"/>
      <c r="K92" s="20"/>
      <c r="L92" s="89">
        <f>L99/25.4</f>
        <v>3.0314960629921264</v>
      </c>
      <c r="M92" s="86" t="s">
        <v>57</v>
      </c>
      <c r="N92" s="116" t="s">
        <v>35</v>
      </c>
      <c r="O92" s="4"/>
    </row>
    <row r="93" spans="1:15" ht="26.25" customHeight="1">
      <c r="A93" s="43"/>
      <c r="B93" s="43"/>
      <c r="C93" s="43"/>
      <c r="D93" s="88" t="s">
        <v>81</v>
      </c>
      <c r="E93" s="88"/>
      <c r="F93" s="61">
        <f>F100/25.4</f>
        <v>2.008173207407888</v>
      </c>
      <c r="G93" s="43" t="s">
        <v>57</v>
      </c>
      <c r="H93" s="88" t="s">
        <v>79</v>
      </c>
      <c r="I93" s="88"/>
      <c r="J93" s="88"/>
      <c r="K93" s="20"/>
      <c r="L93" s="89">
        <f>L100/25.4</f>
        <v>2.177117401574802</v>
      </c>
      <c r="M93" s="86" t="s">
        <v>57</v>
      </c>
      <c r="N93" s="116"/>
      <c r="O93" s="4"/>
    </row>
    <row r="94" spans="1:15" ht="51.75" customHeight="1">
      <c r="A94" s="43"/>
      <c r="B94" s="43"/>
      <c r="C94" s="43"/>
      <c r="D94" s="91" t="s">
        <v>82</v>
      </c>
      <c r="E94" s="91"/>
      <c r="F94" s="92">
        <f>3.28*F101</f>
        <v>28.757142240590216</v>
      </c>
      <c r="G94" s="43" t="s">
        <v>69</v>
      </c>
      <c r="H94" s="88" t="s">
        <v>98</v>
      </c>
      <c r="I94" s="88"/>
      <c r="J94" s="88"/>
      <c r="K94" s="20"/>
      <c r="L94" s="93">
        <f>L54</f>
        <v>31.176431674618126</v>
      </c>
      <c r="M94" s="94" t="s">
        <v>94</v>
      </c>
      <c r="N94" s="116"/>
      <c r="O94" s="4"/>
    </row>
    <row r="95" spans="1:14" ht="15.75" customHeight="1">
      <c r="A95" s="20"/>
      <c r="B95" s="20"/>
      <c r="C95" s="20"/>
      <c r="D95" s="29"/>
      <c r="E95" s="29"/>
      <c r="F95" s="71"/>
      <c r="G95" s="29"/>
      <c r="H95" s="117"/>
      <c r="I95" s="117"/>
      <c r="J95" s="71"/>
      <c r="K95" s="20"/>
      <c r="L95" s="76"/>
      <c r="M95" s="76"/>
      <c r="N95" s="118"/>
    </row>
    <row r="96" spans="1:14" ht="12.75">
      <c r="A96" s="41"/>
      <c r="B96" s="41"/>
      <c r="C96" s="41"/>
      <c r="D96" s="97" t="s">
        <v>77</v>
      </c>
      <c r="E96" s="41"/>
      <c r="F96" s="41"/>
      <c r="G96" s="41"/>
      <c r="H96" s="41"/>
      <c r="I96" s="41"/>
      <c r="J96" s="41"/>
      <c r="K96" s="20"/>
      <c r="L96" s="119" t="s">
        <v>13</v>
      </c>
      <c r="M96" s="119"/>
      <c r="N96" s="119"/>
    </row>
    <row r="97" spans="1:14" ht="12.75" customHeight="1">
      <c r="A97" s="56"/>
      <c r="B97" s="31">
        <f>F98</f>
        <v>94.38758275275312</v>
      </c>
      <c r="C97" s="56"/>
      <c r="D97" s="100" t="s">
        <v>55</v>
      </c>
      <c r="E97" s="100"/>
      <c r="F97" s="31">
        <f>F90*25.4</f>
        <v>66.74209982427816</v>
      </c>
      <c r="G97" s="41" t="s">
        <v>62</v>
      </c>
      <c r="H97" s="101" t="s">
        <v>86</v>
      </c>
      <c r="I97" s="101"/>
      <c r="J97" s="31">
        <f>J90*25.4</f>
        <v>133.4841996485563</v>
      </c>
      <c r="K97" s="20"/>
      <c r="L97" s="120">
        <f>L98/(2*SIN(RADIANS(A54/2)))</f>
        <v>70.71067811865476</v>
      </c>
      <c r="M97" s="45" t="s">
        <v>62</v>
      </c>
      <c r="N97" s="121">
        <f>2*L97</f>
        <v>141.4213562373095</v>
      </c>
    </row>
    <row r="98" spans="1:14" ht="63.75" customHeight="1">
      <c r="A98" s="31">
        <f>F97</f>
        <v>66.74209982427816</v>
      </c>
      <c r="B98" s="56">
        <f>A54</f>
        <v>90</v>
      </c>
      <c r="C98" s="31">
        <f>F97</f>
        <v>66.74209982427816</v>
      </c>
      <c r="D98" s="100" t="s">
        <v>28</v>
      </c>
      <c r="E98" s="100"/>
      <c r="F98" s="31">
        <f>F91*25.4</f>
        <v>94.38758275275312</v>
      </c>
      <c r="G98" s="41"/>
      <c r="H98" s="101"/>
      <c r="I98" s="101"/>
      <c r="J98" s="31"/>
      <c r="K98" s="20"/>
      <c r="L98" s="120">
        <f>$H$54</f>
        <v>100</v>
      </c>
      <c r="M98" s="45" t="s">
        <v>62</v>
      </c>
      <c r="N98" s="122"/>
    </row>
    <row r="99" spans="1:14" ht="50.25" customHeight="1">
      <c r="A99" s="123" t="s">
        <v>104</v>
      </c>
      <c r="B99" s="123"/>
      <c r="C99" s="123"/>
      <c r="D99" s="106" t="s">
        <v>75</v>
      </c>
      <c r="E99" s="106"/>
      <c r="F99" s="31">
        <f>F98-23</f>
        <v>71.38758275275312</v>
      </c>
      <c r="G99" s="41" t="s">
        <v>62</v>
      </c>
      <c r="H99" s="106" t="s">
        <v>68</v>
      </c>
      <c r="I99" s="106"/>
      <c r="J99" s="106"/>
      <c r="K99" s="20"/>
      <c r="L99" s="120">
        <f>L98-23</f>
        <v>77</v>
      </c>
      <c r="M99" s="45" t="s">
        <v>62</v>
      </c>
      <c r="N99" s="122"/>
    </row>
    <row r="100" spans="1:14" ht="26.25" customHeight="1">
      <c r="A100" s="41"/>
      <c r="B100" s="41"/>
      <c r="C100" s="41"/>
      <c r="D100" s="106" t="s">
        <v>87</v>
      </c>
      <c r="E100" s="106"/>
      <c r="F100" s="107">
        <f>(0.000002*POWER(F99,4))-(0.0005*POWER(F99,3))+(0.0418*POWER(F99,2))-(0.449*F99)</f>
        <v>51.00759946816035</v>
      </c>
      <c r="G100" s="41" t="s">
        <v>62</v>
      </c>
      <c r="H100" s="106" t="s">
        <v>84</v>
      </c>
      <c r="I100" s="106"/>
      <c r="J100" s="106"/>
      <c r="K100" s="20"/>
      <c r="L100" s="124">
        <f>(0.000002*POWER(L99,4))-(0.0005*POWER(L99,3))+(0.0418*POWER(L99,2))-(0.449*L99)</f>
        <v>55.29878199999997</v>
      </c>
      <c r="M100" s="45" t="s">
        <v>62</v>
      </c>
      <c r="N100" s="58"/>
    </row>
    <row r="101" spans="1:14" ht="51.75" customHeight="1">
      <c r="A101" s="41"/>
      <c r="B101" s="41"/>
      <c r="C101" s="41"/>
      <c r="D101" s="109" t="s">
        <v>82</v>
      </c>
      <c r="E101" s="109"/>
      <c r="F101" s="62">
        <f>(3*F100)/((2*TAN(RADIANS(G46/2)))+(TAN(RADIANS(G46))))/1000</f>
        <v>8.767421414814091</v>
      </c>
      <c r="G101" s="41" t="s">
        <v>66</v>
      </c>
      <c r="H101" s="106" t="s">
        <v>98</v>
      </c>
      <c r="I101" s="106"/>
      <c r="J101" s="106"/>
      <c r="K101" s="20"/>
      <c r="L101" s="64">
        <f>(3*L100)/((2*TAN(RADIANS($G$46/2)))+(TAN(RADIANS($G$46))))/1000</f>
        <v>9.505009656895771</v>
      </c>
      <c r="M101" s="45" t="s">
        <v>93</v>
      </c>
      <c r="N101" s="58"/>
    </row>
    <row r="102" spans="1:14" ht="12.75">
      <c r="A102" s="20"/>
      <c r="B102" s="20"/>
      <c r="C102" s="20"/>
      <c r="D102" s="29"/>
      <c r="E102" s="29"/>
      <c r="F102" s="71"/>
      <c r="G102" s="29"/>
      <c r="H102" s="117"/>
      <c r="I102" s="117"/>
      <c r="J102" s="71"/>
      <c r="K102" s="20"/>
      <c r="L102" s="20"/>
      <c r="M102" s="20"/>
      <c r="N102" s="20"/>
    </row>
    <row r="103" spans="1:14" ht="12.75">
      <c r="A103" s="20"/>
      <c r="B103" s="20"/>
      <c r="C103" s="20"/>
      <c r="D103" s="29"/>
      <c r="E103" s="29"/>
      <c r="F103" s="71"/>
      <c r="G103" s="29"/>
      <c r="H103" s="117"/>
      <c r="I103" s="117"/>
      <c r="J103" s="71"/>
      <c r="K103" s="20"/>
      <c r="L103" s="20"/>
      <c r="M103" s="20"/>
      <c r="N103" s="20"/>
    </row>
    <row r="104" spans="1:14" ht="12.75" customHeight="1">
      <c r="A104" s="20"/>
      <c r="B104" s="20"/>
      <c r="C104" s="20"/>
      <c r="D104" s="27"/>
      <c r="E104" s="20"/>
      <c r="F104" s="20"/>
      <c r="G104" s="20"/>
      <c r="H104" s="20"/>
      <c r="I104" s="20"/>
      <c r="J104" s="20"/>
      <c r="K104" s="20"/>
      <c r="L104" s="20"/>
      <c r="M104" s="20"/>
      <c r="N104" s="20"/>
    </row>
    <row r="105" spans="1:15" ht="12.75">
      <c r="A105" s="43"/>
      <c r="B105" s="43"/>
      <c r="C105" s="43"/>
      <c r="D105" s="81" t="s">
        <v>76</v>
      </c>
      <c r="E105" s="43"/>
      <c r="F105" s="61"/>
      <c r="G105" s="43"/>
      <c r="H105" s="43"/>
      <c r="I105" s="43"/>
      <c r="J105" s="43"/>
      <c r="K105" s="20"/>
      <c r="L105" s="82" t="s">
        <v>13</v>
      </c>
      <c r="M105" s="82"/>
      <c r="N105" s="82"/>
      <c r="O105" s="4"/>
    </row>
    <row r="106" spans="1:15" ht="15" customHeight="1">
      <c r="A106" s="43"/>
      <c r="B106" s="43"/>
      <c r="C106" s="43"/>
      <c r="D106" s="88" t="s">
        <v>88</v>
      </c>
      <c r="E106" s="88"/>
      <c r="F106" s="61">
        <f>12*POWER(($D$31/(2959.971*SQRT(TAN(RADIANS($G$46)))))*POWER($I$42,0.5),0.4)</f>
        <v>1.615540744886593</v>
      </c>
      <c r="G106" s="43" t="s">
        <v>57</v>
      </c>
      <c r="H106" s="112" t="s">
        <v>89</v>
      </c>
      <c r="I106" s="112"/>
      <c r="J106" s="61">
        <f>3*F106</f>
        <v>4.84662223465978</v>
      </c>
      <c r="K106" s="20"/>
      <c r="L106" s="89">
        <f>L113/25.4</f>
        <v>3.937007874015748</v>
      </c>
      <c r="M106" s="86" t="s">
        <v>57</v>
      </c>
      <c r="N106" s="125">
        <f>N113/25.4</f>
        <v>11.811023622047244</v>
      </c>
      <c r="O106" s="4"/>
    </row>
    <row r="107" spans="1:15" ht="75.75" customHeight="1">
      <c r="A107" s="61">
        <f>F106</f>
        <v>1.615540744886593</v>
      </c>
      <c r="B107" s="126">
        <f>F106</f>
        <v>1.615540744886593</v>
      </c>
      <c r="C107" s="127"/>
      <c r="D107" s="43"/>
      <c r="E107" s="43"/>
      <c r="F107" s="30"/>
      <c r="G107" s="43"/>
      <c r="H107" s="112"/>
      <c r="I107" s="112"/>
      <c r="J107" s="61"/>
      <c r="K107" s="20"/>
      <c r="L107" s="89"/>
      <c r="M107" s="86"/>
      <c r="N107" s="128"/>
      <c r="O107" s="4"/>
    </row>
    <row r="108" spans="1:15" ht="38.25" customHeight="1">
      <c r="A108" s="49" t="s">
        <v>99</v>
      </c>
      <c r="B108" s="49"/>
      <c r="C108" s="49"/>
      <c r="D108" s="88" t="s">
        <v>73</v>
      </c>
      <c r="E108" s="88"/>
      <c r="F108" s="61">
        <f>F106-0.875</f>
        <v>0.740540744886593</v>
      </c>
      <c r="G108" s="43" t="s">
        <v>57</v>
      </c>
      <c r="H108" s="88" t="s">
        <v>68</v>
      </c>
      <c r="I108" s="88"/>
      <c r="J108" s="88"/>
      <c r="K108" s="20"/>
      <c r="L108" s="89">
        <f>L115/25.4</f>
        <v>3.0314960629921264</v>
      </c>
      <c r="M108" s="86" t="s">
        <v>57</v>
      </c>
      <c r="N108" s="116" t="s">
        <v>35</v>
      </c>
      <c r="O108" s="4"/>
    </row>
    <row r="109" spans="1:15" ht="27" customHeight="1">
      <c r="A109" s="43"/>
      <c r="B109" s="43"/>
      <c r="C109" s="43"/>
      <c r="D109" s="88" t="s">
        <v>81</v>
      </c>
      <c r="E109" s="88"/>
      <c r="F109" s="61">
        <f>F116/25.4</f>
        <v>0.10931445206090613</v>
      </c>
      <c r="G109" s="43" t="s">
        <v>57</v>
      </c>
      <c r="H109" s="88" t="s">
        <v>79</v>
      </c>
      <c r="I109" s="88"/>
      <c r="J109" s="88"/>
      <c r="K109" s="20"/>
      <c r="L109" s="89">
        <f>L116/25.4</f>
        <v>2.177117401574802</v>
      </c>
      <c r="M109" s="86" t="s">
        <v>57</v>
      </c>
      <c r="N109" s="116"/>
      <c r="O109" s="4"/>
    </row>
    <row r="110" spans="1:15" ht="51.75" customHeight="1">
      <c r="A110" s="43"/>
      <c r="B110" s="43"/>
      <c r="C110" s="43"/>
      <c r="D110" s="91" t="s">
        <v>82</v>
      </c>
      <c r="E110" s="91"/>
      <c r="F110" s="92">
        <f>3.28*F117</f>
        <v>1.5653885009875819</v>
      </c>
      <c r="G110" s="43" t="s">
        <v>69</v>
      </c>
      <c r="H110" s="88" t="s">
        <v>98</v>
      </c>
      <c r="I110" s="88"/>
      <c r="J110" s="88"/>
      <c r="K110" s="20"/>
      <c r="L110" s="93">
        <f>3.28*L117</f>
        <v>31.176431674618126</v>
      </c>
      <c r="M110" s="94" t="s">
        <v>94</v>
      </c>
      <c r="N110" s="116"/>
      <c r="O110" s="4"/>
    </row>
    <row r="111" spans="1:15" ht="12.75">
      <c r="A111" s="20"/>
      <c r="B111" s="20"/>
      <c r="C111" s="20"/>
      <c r="D111" s="29"/>
      <c r="E111" s="29"/>
      <c r="F111" s="71"/>
      <c r="G111" s="29"/>
      <c r="H111" s="117"/>
      <c r="I111" s="117"/>
      <c r="J111" s="71"/>
      <c r="K111" s="20"/>
      <c r="L111" s="76"/>
      <c r="M111" s="76"/>
      <c r="N111" s="118"/>
      <c r="O111" s="4"/>
    </row>
    <row r="112" spans="1:14" ht="12.75">
      <c r="A112" s="41"/>
      <c r="B112" s="41"/>
      <c r="C112" s="41"/>
      <c r="D112" s="97" t="s">
        <v>77</v>
      </c>
      <c r="E112" s="41"/>
      <c r="F112" s="62"/>
      <c r="G112" s="41"/>
      <c r="H112" s="129"/>
      <c r="I112" s="129"/>
      <c r="J112" s="62"/>
      <c r="K112" s="20"/>
      <c r="L112" s="119" t="s">
        <v>13</v>
      </c>
      <c r="M112" s="119"/>
      <c r="N112" s="119"/>
    </row>
    <row r="113" spans="1:14" ht="12.75" customHeight="1">
      <c r="A113" s="41"/>
      <c r="B113" s="41"/>
      <c r="C113" s="41"/>
      <c r="D113" s="106" t="s">
        <v>88</v>
      </c>
      <c r="E113" s="106"/>
      <c r="F113" s="31">
        <f>F106*25.4</f>
        <v>41.03473492011946</v>
      </c>
      <c r="G113" s="41" t="s">
        <v>62</v>
      </c>
      <c r="H113" s="130" t="s">
        <v>89</v>
      </c>
      <c r="I113" s="130"/>
      <c r="J113" s="31">
        <f>J106*25.4</f>
        <v>123.1042047603584</v>
      </c>
      <c r="K113" s="20"/>
      <c r="L113" s="103">
        <f>H55</f>
        <v>100</v>
      </c>
      <c r="M113" s="45" t="s">
        <v>62</v>
      </c>
      <c r="N113" s="131">
        <f>3*L113</f>
        <v>300</v>
      </c>
    </row>
    <row r="114" spans="1:14" ht="79.5" customHeight="1">
      <c r="A114" s="31">
        <f>F113</f>
        <v>41.03473492011946</v>
      </c>
      <c r="B114" s="132">
        <f>F113</f>
        <v>41.03473492011946</v>
      </c>
      <c r="C114" s="41"/>
      <c r="D114" s="41"/>
      <c r="E114" s="41"/>
      <c r="F114" s="41"/>
      <c r="G114" s="41"/>
      <c r="H114" s="130"/>
      <c r="I114" s="130"/>
      <c r="J114" s="41"/>
      <c r="K114" s="20"/>
      <c r="L114" s="103"/>
      <c r="M114" s="45"/>
      <c r="N114" s="122"/>
    </row>
    <row r="115" spans="1:14" ht="39" customHeight="1">
      <c r="A115" s="133" t="s">
        <v>100</v>
      </c>
      <c r="B115" s="133"/>
      <c r="C115" s="133"/>
      <c r="D115" s="106" t="s">
        <v>75</v>
      </c>
      <c r="E115" s="106"/>
      <c r="F115" s="31">
        <f>F113-23</f>
        <v>18.03473492011946</v>
      </c>
      <c r="G115" s="41" t="s">
        <v>62</v>
      </c>
      <c r="H115" s="106" t="s">
        <v>68</v>
      </c>
      <c r="I115" s="106"/>
      <c r="J115" s="106"/>
      <c r="K115" s="20"/>
      <c r="L115" s="103">
        <f>H55-23</f>
        <v>77</v>
      </c>
      <c r="M115" s="45" t="s">
        <v>62</v>
      </c>
      <c r="N115" s="122"/>
    </row>
    <row r="116" spans="1:18" ht="25.5" customHeight="1">
      <c r="A116" s="41"/>
      <c r="B116" s="41"/>
      <c r="C116" s="41"/>
      <c r="D116" s="106" t="s">
        <v>87</v>
      </c>
      <c r="E116" s="106"/>
      <c r="F116" s="107">
        <f>(0.000002*POWER(F115,4))-(0.0005*POWER(F115,3))+(0.0418*POWER(F115,2))-(0.449*F115)</f>
        <v>2.7765870823470156</v>
      </c>
      <c r="G116" s="41" t="s">
        <v>62</v>
      </c>
      <c r="H116" s="106" t="s">
        <v>84</v>
      </c>
      <c r="I116" s="106"/>
      <c r="J116" s="106"/>
      <c r="K116" s="20"/>
      <c r="L116" s="108">
        <f>(0.000002*POWER(L115,4))-(0.0005*POWER(L115,3))+(0.0418*POWER(L115,2))-(0.449*L115)</f>
        <v>55.29878199999997</v>
      </c>
      <c r="M116" s="45" t="s">
        <v>62</v>
      </c>
      <c r="N116" s="122"/>
      <c r="P116" s="3"/>
      <c r="Q116" s="3"/>
      <c r="R116" s="3"/>
    </row>
    <row r="117" spans="1:14" ht="51.75" customHeight="1">
      <c r="A117" s="41"/>
      <c r="B117" s="41"/>
      <c r="C117" s="41"/>
      <c r="D117" s="109" t="s">
        <v>82</v>
      </c>
      <c r="E117" s="109"/>
      <c r="F117" s="62">
        <f>(3*F116)/((2*TAN(RADIANS($G$46/2)))+(TAN(RADIANS($G$46))))/1000</f>
        <v>0.4772525917645067</v>
      </c>
      <c r="G117" s="41" t="s">
        <v>66</v>
      </c>
      <c r="H117" s="106" t="s">
        <v>98</v>
      </c>
      <c r="I117" s="106"/>
      <c r="J117" s="106"/>
      <c r="K117" s="20"/>
      <c r="L117" s="110">
        <f>(3*L116)/((2*TAN(RADIANS($G$46/2)))+(TAN(RADIANS($G$46))))/1000</f>
        <v>9.505009656895771</v>
      </c>
      <c r="M117" s="45" t="s">
        <v>93</v>
      </c>
      <c r="N117" s="122"/>
    </row>
    <row r="118" spans="1:14" ht="12.75">
      <c r="A118" s="20"/>
      <c r="B118" s="20"/>
      <c r="C118" s="20"/>
      <c r="D118" s="20"/>
      <c r="E118" s="20"/>
      <c r="F118" s="20"/>
      <c r="G118" s="20"/>
      <c r="H118" s="20"/>
      <c r="I118" s="20"/>
      <c r="J118" s="20"/>
      <c r="K118" s="20"/>
      <c r="L118" s="20"/>
      <c r="M118" s="20"/>
      <c r="N118" s="134"/>
    </row>
    <row r="119" spans="1:14" ht="12.75">
      <c r="A119" s="20"/>
      <c r="B119" s="20"/>
      <c r="C119" s="20"/>
      <c r="D119" s="20"/>
      <c r="E119" s="20"/>
      <c r="F119" s="20"/>
      <c r="G119" s="20"/>
      <c r="H119" s="20"/>
      <c r="I119" s="20"/>
      <c r="J119" s="20"/>
      <c r="K119" s="20"/>
      <c r="L119" s="20"/>
      <c r="M119" s="20"/>
      <c r="N119" s="134"/>
    </row>
    <row r="120" spans="1:14" ht="12.75">
      <c r="A120" s="20"/>
      <c r="B120" s="20"/>
      <c r="C120" s="20"/>
      <c r="D120" s="20"/>
      <c r="E120" s="20"/>
      <c r="F120" s="20"/>
      <c r="G120" s="20"/>
      <c r="H120" s="20"/>
      <c r="I120" s="20"/>
      <c r="J120" s="20"/>
      <c r="K120" s="20"/>
      <c r="L120" s="27"/>
      <c r="M120" s="27"/>
      <c r="N120" s="134"/>
    </row>
    <row r="121" spans="1:15" ht="19.5" customHeight="1">
      <c r="A121" s="43"/>
      <c r="B121" s="43"/>
      <c r="C121" s="43"/>
      <c r="D121" s="81" t="s">
        <v>76</v>
      </c>
      <c r="E121" s="43"/>
      <c r="F121" s="61"/>
      <c r="G121" s="43"/>
      <c r="H121" s="43"/>
      <c r="I121" s="43"/>
      <c r="J121" s="43"/>
      <c r="K121" s="20"/>
      <c r="L121" s="111" t="s">
        <v>13</v>
      </c>
      <c r="M121" s="111"/>
      <c r="N121" s="111"/>
      <c r="O121" s="4"/>
    </row>
    <row r="122" spans="1:15" ht="27" customHeight="1">
      <c r="A122" s="43"/>
      <c r="B122" s="61">
        <f>F123</f>
        <v>2.910452292675619</v>
      </c>
      <c r="C122" s="43"/>
      <c r="D122" s="88" t="s">
        <v>91</v>
      </c>
      <c r="E122" s="88"/>
      <c r="F122" s="61">
        <f>18.48*(POWER((($D$31/(11312.48*SQRT(TAN(RADIANS($G$46)))))*(POWER($I$42,0.5))),0.4))</f>
        <v>1.4552261463378096</v>
      </c>
      <c r="G122" s="43" t="s">
        <v>57</v>
      </c>
      <c r="H122" s="112" t="s">
        <v>89</v>
      </c>
      <c r="I122" s="112"/>
      <c r="J122" s="135">
        <f>3*F122</f>
        <v>4.365678439013429</v>
      </c>
      <c r="K122" s="20"/>
      <c r="L122" s="136">
        <f>L129/25.4</f>
        <v>1.968503937007874</v>
      </c>
      <c r="M122" s="137" t="s">
        <v>57</v>
      </c>
      <c r="N122" s="138">
        <f>N129/25.4</f>
        <v>5.905511811023622</v>
      </c>
      <c r="O122" s="4"/>
    </row>
    <row r="123" spans="1:15" ht="69" customHeight="1">
      <c r="A123" s="139">
        <f>F122</f>
        <v>1.4552261463378096</v>
      </c>
      <c r="B123" s="140" t="s">
        <v>65</v>
      </c>
      <c r="C123" s="141">
        <f>F122</f>
        <v>1.4552261463378096</v>
      </c>
      <c r="D123" s="88" t="s">
        <v>92</v>
      </c>
      <c r="E123" s="88"/>
      <c r="F123" s="61">
        <f>2*F122</f>
        <v>2.910452292675619</v>
      </c>
      <c r="G123" s="43" t="s">
        <v>57</v>
      </c>
      <c r="H123" s="112"/>
      <c r="I123" s="112"/>
      <c r="J123" s="135"/>
      <c r="K123" s="20"/>
      <c r="L123" s="136">
        <f>L130/25.4</f>
        <v>3.937007874015748</v>
      </c>
      <c r="M123" s="137" t="s">
        <v>57</v>
      </c>
      <c r="N123" s="128"/>
      <c r="O123" s="4"/>
    </row>
    <row r="124" spans="1:15" ht="48.75" customHeight="1">
      <c r="A124" s="43"/>
      <c r="B124" s="135">
        <f>F122</f>
        <v>1.4552261463378096</v>
      </c>
      <c r="C124" s="43"/>
      <c r="D124" s="88" t="s">
        <v>97</v>
      </c>
      <c r="E124" s="88"/>
      <c r="F124" s="61">
        <f>F123-0.875</f>
        <v>2.035452292675619</v>
      </c>
      <c r="G124" s="43" t="s">
        <v>57</v>
      </c>
      <c r="H124" s="88" t="s">
        <v>68</v>
      </c>
      <c r="I124" s="88"/>
      <c r="J124" s="88"/>
      <c r="K124" s="20"/>
      <c r="L124" s="136">
        <f>L131/25.4</f>
        <v>3.0314960629921264</v>
      </c>
      <c r="M124" s="137" t="s">
        <v>57</v>
      </c>
      <c r="N124" s="116" t="s">
        <v>35</v>
      </c>
      <c r="O124" s="4"/>
    </row>
    <row r="125" spans="1:15" ht="27" customHeight="1">
      <c r="A125" s="49" t="s">
        <v>29</v>
      </c>
      <c r="B125" s="49"/>
      <c r="C125" s="49"/>
      <c r="D125" s="88" t="s">
        <v>81</v>
      </c>
      <c r="E125" s="88"/>
      <c r="F125" s="61">
        <f>F132/25.4</f>
        <v>1.2974443016924195</v>
      </c>
      <c r="G125" s="43" t="s">
        <v>57</v>
      </c>
      <c r="H125" s="88" t="s">
        <v>79</v>
      </c>
      <c r="I125" s="88"/>
      <c r="J125" s="88"/>
      <c r="K125" s="20"/>
      <c r="L125" s="136">
        <f>L132/25.4</f>
        <v>2.177117401574802</v>
      </c>
      <c r="M125" s="137" t="s">
        <v>57</v>
      </c>
      <c r="N125" s="116"/>
      <c r="O125" s="4"/>
    </row>
    <row r="126" spans="1:15" ht="51.75" customHeight="1">
      <c r="A126" s="88"/>
      <c r="B126" s="88"/>
      <c r="C126" s="88"/>
      <c r="D126" s="91" t="s">
        <v>95</v>
      </c>
      <c r="E126" s="91"/>
      <c r="F126" s="92">
        <f>3.28*F133</f>
        <v>18.57946824276787</v>
      </c>
      <c r="G126" s="43" t="s">
        <v>69</v>
      </c>
      <c r="H126" s="88" t="s">
        <v>98</v>
      </c>
      <c r="I126" s="88"/>
      <c r="J126" s="88"/>
      <c r="K126" s="20"/>
      <c r="L126" s="142">
        <f>3.28*L133</f>
        <v>31.176431674618126</v>
      </c>
      <c r="M126" s="94" t="s">
        <v>94</v>
      </c>
      <c r="N126" s="116"/>
      <c r="O126" s="4"/>
    </row>
    <row r="127" spans="1:15" ht="14.25" customHeight="1">
      <c r="A127" s="24"/>
      <c r="B127" s="24"/>
      <c r="C127" s="24"/>
      <c r="D127" s="29"/>
      <c r="E127" s="29"/>
      <c r="F127" s="71"/>
      <c r="G127" s="29"/>
      <c r="H127" s="117"/>
      <c r="I127" s="117"/>
      <c r="J127" s="71"/>
      <c r="K127" s="20"/>
      <c r="L127" s="76"/>
      <c r="M127" s="76"/>
      <c r="N127" s="118"/>
      <c r="O127" s="4"/>
    </row>
    <row r="128" spans="1:14" ht="12.75">
      <c r="A128" s="41"/>
      <c r="B128" s="41"/>
      <c r="C128" s="41"/>
      <c r="D128" s="97" t="s">
        <v>77</v>
      </c>
      <c r="E128" s="41"/>
      <c r="F128" s="62"/>
      <c r="G128" s="41"/>
      <c r="H128" s="129"/>
      <c r="I128" s="129"/>
      <c r="J128" s="62"/>
      <c r="K128" s="20"/>
      <c r="L128" s="119" t="s">
        <v>13</v>
      </c>
      <c r="M128" s="119"/>
      <c r="N128" s="119"/>
    </row>
    <row r="129" spans="1:17" ht="25.5" customHeight="1">
      <c r="A129" s="41"/>
      <c r="B129" s="31">
        <f>F130</f>
        <v>73.92548823396072</v>
      </c>
      <c r="C129" s="41"/>
      <c r="D129" s="106" t="s">
        <v>91</v>
      </c>
      <c r="E129" s="106"/>
      <c r="F129" s="31">
        <f>F122*25.4</f>
        <v>36.96274411698036</v>
      </c>
      <c r="G129" s="41" t="s">
        <v>62</v>
      </c>
      <c r="H129" s="130" t="s">
        <v>89</v>
      </c>
      <c r="I129" s="130"/>
      <c r="J129" s="31">
        <f>J122*25.4</f>
        <v>110.8882323509411</v>
      </c>
      <c r="K129" s="20"/>
      <c r="L129" s="143">
        <f>L130/2</f>
        <v>50</v>
      </c>
      <c r="M129" s="144" t="s">
        <v>62</v>
      </c>
      <c r="N129" s="121">
        <f>L129*3</f>
        <v>150</v>
      </c>
      <c r="P129" s="2"/>
      <c r="Q129" s="2"/>
    </row>
    <row r="130" spans="1:14" ht="69" customHeight="1">
      <c r="A130" s="145">
        <f>F129</f>
        <v>36.96274411698036</v>
      </c>
      <c r="B130" s="129" t="s">
        <v>65</v>
      </c>
      <c r="C130" s="146">
        <f>F129</f>
        <v>36.96274411698036</v>
      </c>
      <c r="D130" s="106" t="s">
        <v>92</v>
      </c>
      <c r="E130" s="106"/>
      <c r="F130" s="31">
        <f>F123*25.4</f>
        <v>73.92548823396072</v>
      </c>
      <c r="G130" s="41" t="s">
        <v>62</v>
      </c>
      <c r="H130" s="130"/>
      <c r="I130" s="130"/>
      <c r="J130" s="41"/>
      <c r="K130" s="20"/>
      <c r="L130" s="147">
        <f>H56</f>
        <v>100</v>
      </c>
      <c r="M130" s="144" t="s">
        <v>62</v>
      </c>
      <c r="N130" s="122"/>
    </row>
    <row r="131" spans="1:14" ht="45" customHeight="1">
      <c r="A131" s="41"/>
      <c r="B131" s="148">
        <f>F129</f>
        <v>36.96274411698036</v>
      </c>
      <c r="C131" s="41"/>
      <c r="D131" s="106" t="s">
        <v>96</v>
      </c>
      <c r="E131" s="106"/>
      <c r="F131" s="31">
        <f>F130-23</f>
        <v>50.92548823396072</v>
      </c>
      <c r="G131" s="41" t="s">
        <v>62</v>
      </c>
      <c r="H131" s="106" t="s">
        <v>68</v>
      </c>
      <c r="I131" s="106"/>
      <c r="J131" s="106"/>
      <c r="K131" s="20"/>
      <c r="L131" s="147">
        <f>IF(L130=0,0,L130-23)</f>
        <v>77</v>
      </c>
      <c r="M131" s="144" t="s">
        <v>62</v>
      </c>
      <c r="N131" s="122"/>
    </row>
    <row r="132" spans="1:14" ht="27" customHeight="1">
      <c r="A132" s="133" t="s">
        <v>30</v>
      </c>
      <c r="B132" s="133"/>
      <c r="C132" s="133"/>
      <c r="D132" s="106" t="s">
        <v>87</v>
      </c>
      <c r="E132" s="106"/>
      <c r="F132" s="107">
        <f>(0.000002*POWER(F131,4))-(0.0005*POWER(F131,3))+(0.0418*POWER(F131,2))-(0.449*F131)</f>
        <v>32.95508526298745</v>
      </c>
      <c r="G132" s="41" t="s">
        <v>62</v>
      </c>
      <c r="H132" s="106" t="s">
        <v>84</v>
      </c>
      <c r="I132" s="106"/>
      <c r="J132" s="106"/>
      <c r="K132" s="20"/>
      <c r="L132" s="124">
        <f>(0.000002*POWER(L131,4))-(0.0005*POWER(L131,3))+(0.0418*POWER(L131,2))-(0.449*L131)</f>
        <v>55.29878199999997</v>
      </c>
      <c r="M132" s="144" t="s">
        <v>62</v>
      </c>
      <c r="N132" s="122"/>
    </row>
    <row r="133" spans="1:14" ht="51.75" customHeight="1">
      <c r="A133" s="41"/>
      <c r="B133" s="41"/>
      <c r="C133" s="41"/>
      <c r="D133" s="109" t="s">
        <v>82</v>
      </c>
      <c r="E133" s="109"/>
      <c r="F133" s="62">
        <f>(3*F132)/((2*TAN(RADIANS($G$46/2)))+(TAN(RADIANS($G$46))))/1000</f>
        <v>5.664472025234107</v>
      </c>
      <c r="G133" s="41" t="s">
        <v>66</v>
      </c>
      <c r="H133" s="149" t="s">
        <v>98</v>
      </c>
      <c r="I133" s="149"/>
      <c r="J133" s="149"/>
      <c r="K133" s="20"/>
      <c r="L133" s="64">
        <f>(3*L132)/((2*TAN(RADIANS($G$46/2)))+(TAN(RADIANS($G$46))))/1000</f>
        <v>9.505009656895771</v>
      </c>
      <c r="M133" s="144" t="s">
        <v>93</v>
      </c>
      <c r="N133" s="122"/>
    </row>
    <row r="134" spans="1:14" ht="12.75">
      <c r="A134" s="20"/>
      <c r="B134" s="20"/>
      <c r="C134" s="20"/>
      <c r="D134" s="20"/>
      <c r="E134" s="20"/>
      <c r="F134" s="20"/>
      <c r="G134" s="20"/>
      <c r="H134" s="20"/>
      <c r="I134" s="20"/>
      <c r="J134" s="20"/>
      <c r="K134" s="20"/>
      <c r="L134" s="20"/>
      <c r="M134" s="20"/>
      <c r="N134" s="20"/>
    </row>
    <row r="135" spans="1:14" ht="12.75">
      <c r="A135" s="20"/>
      <c r="B135" s="20"/>
      <c r="C135" s="20"/>
      <c r="D135" s="20"/>
      <c r="E135" s="20"/>
      <c r="F135" s="20"/>
      <c r="G135" s="20"/>
      <c r="H135" s="20"/>
      <c r="I135" s="20"/>
      <c r="J135" s="20"/>
      <c r="K135" s="20"/>
      <c r="L135" s="20"/>
      <c r="M135" s="20"/>
      <c r="N135" s="20"/>
    </row>
    <row r="136" spans="1:14" ht="12.75">
      <c r="A136" s="150" t="s">
        <v>2</v>
      </c>
      <c r="B136" s="24"/>
      <c r="C136" s="24"/>
      <c r="D136" s="24"/>
      <c r="E136" s="24"/>
      <c r="F136" s="24"/>
      <c r="G136" s="24"/>
      <c r="H136" s="24"/>
      <c r="I136" s="24"/>
      <c r="J136" s="24"/>
      <c r="K136" s="24"/>
      <c r="L136" s="24"/>
      <c r="M136" s="24"/>
      <c r="N136" s="24"/>
    </row>
    <row r="137" spans="1:14" ht="12.75">
      <c r="A137" s="20"/>
      <c r="B137" s="20"/>
      <c r="C137" s="20"/>
      <c r="D137" s="20"/>
      <c r="E137" s="20"/>
      <c r="F137" s="20"/>
      <c r="G137" s="20"/>
      <c r="H137" s="20"/>
      <c r="I137" s="20"/>
      <c r="J137" s="20"/>
      <c r="K137" s="20"/>
      <c r="L137" s="20"/>
      <c r="M137" s="20"/>
      <c r="N137" s="20"/>
    </row>
    <row r="138" spans="1:16" ht="67.5" customHeight="1">
      <c r="A138" s="23" t="s">
        <v>3</v>
      </c>
      <c r="B138" s="23"/>
      <c r="C138" s="23"/>
      <c r="D138" s="23"/>
      <c r="E138" s="23"/>
      <c r="F138" s="23"/>
      <c r="G138" s="23"/>
      <c r="H138" s="23"/>
      <c r="I138" s="23"/>
      <c r="J138" s="23"/>
      <c r="K138" s="23"/>
      <c r="L138" s="23"/>
      <c r="M138" s="23"/>
      <c r="N138" s="23"/>
      <c r="P138" s="7"/>
    </row>
    <row r="139" spans="1:14" ht="9.75" customHeight="1">
      <c r="A139" s="19"/>
      <c r="B139" s="19"/>
      <c r="C139" s="19"/>
      <c r="D139" s="19"/>
      <c r="E139" s="19"/>
      <c r="F139" s="19"/>
      <c r="G139" s="19"/>
      <c r="H139" s="19"/>
      <c r="I139" s="19"/>
      <c r="J139" s="19"/>
      <c r="K139" s="19"/>
      <c r="L139" s="19"/>
      <c r="M139" s="19"/>
      <c r="N139" s="19"/>
    </row>
    <row r="140" spans="1:14" ht="9.75" customHeight="1">
      <c r="A140" s="19"/>
      <c r="B140" s="19"/>
      <c r="C140" s="19"/>
      <c r="D140" s="19"/>
      <c r="E140" s="19"/>
      <c r="F140" s="19"/>
      <c r="G140" s="19"/>
      <c r="H140" s="19"/>
      <c r="I140" s="19"/>
      <c r="J140" s="19"/>
      <c r="K140" s="19"/>
      <c r="L140" s="19"/>
      <c r="M140" s="19"/>
      <c r="N140" s="19"/>
    </row>
    <row r="141" spans="1:14" ht="15" customHeight="1">
      <c r="A141" s="19"/>
      <c r="B141" s="76"/>
      <c r="C141" s="76"/>
      <c r="D141" s="14" t="s">
        <v>4</v>
      </c>
      <c r="E141" s="14"/>
      <c r="F141" s="14"/>
      <c r="G141" s="14"/>
      <c r="H141" s="14"/>
      <c r="I141" s="14"/>
      <c r="J141" s="14"/>
      <c r="K141" s="14"/>
      <c r="L141" s="14"/>
      <c r="M141" s="14"/>
      <c r="N141" s="14"/>
    </row>
    <row r="142" spans="1:14" ht="16.5" customHeight="1">
      <c r="A142" s="19"/>
      <c r="B142" s="19"/>
      <c r="C142" s="19"/>
      <c r="D142" s="14" t="s">
        <v>5</v>
      </c>
      <c r="E142" s="14"/>
      <c r="F142" s="14"/>
      <c r="G142" s="14"/>
      <c r="H142" s="14"/>
      <c r="I142" s="14"/>
      <c r="J142" s="14"/>
      <c r="K142" s="14"/>
      <c r="L142" s="14"/>
      <c r="M142" s="14"/>
      <c r="N142" s="14"/>
    </row>
    <row r="143" spans="1:14" ht="15" customHeight="1">
      <c r="A143" s="19"/>
      <c r="B143" s="19"/>
      <c r="C143" s="19"/>
      <c r="D143" s="14" t="s">
        <v>6</v>
      </c>
      <c r="E143" s="14"/>
      <c r="F143" s="14"/>
      <c r="G143" s="14"/>
      <c r="H143" s="14"/>
      <c r="I143" s="14"/>
      <c r="J143" s="14"/>
      <c r="K143" s="14"/>
      <c r="L143" s="14"/>
      <c r="M143" s="14"/>
      <c r="N143" s="14"/>
    </row>
    <row r="144" spans="1:14" ht="9.75" customHeight="1">
      <c r="A144" s="19"/>
      <c r="B144" s="19"/>
      <c r="C144" s="19"/>
      <c r="D144" s="19"/>
      <c r="E144" s="23"/>
      <c r="F144" s="23"/>
      <c r="G144" s="23"/>
      <c r="H144" s="23"/>
      <c r="I144" s="23"/>
      <c r="J144" s="23"/>
      <c r="K144" s="23"/>
      <c r="L144" s="23"/>
      <c r="M144" s="23"/>
      <c r="N144" s="23"/>
    </row>
    <row r="145" spans="1:14" ht="42.75" customHeight="1">
      <c r="A145" s="23" t="s">
        <v>31</v>
      </c>
      <c r="B145" s="23"/>
      <c r="C145" s="23"/>
      <c r="D145" s="23"/>
      <c r="E145" s="23"/>
      <c r="F145" s="23"/>
      <c r="G145" s="23"/>
      <c r="H145" s="23"/>
      <c r="I145" s="23"/>
      <c r="J145" s="23"/>
      <c r="K145" s="23"/>
      <c r="L145" s="23"/>
      <c r="M145" s="23"/>
      <c r="N145" s="23"/>
    </row>
    <row r="146" spans="1:14" ht="12.75">
      <c r="A146" s="19"/>
      <c r="B146" s="19"/>
      <c r="C146" s="19"/>
      <c r="D146" s="19"/>
      <c r="E146" s="19"/>
      <c r="F146" s="19"/>
      <c r="G146" s="19"/>
      <c r="H146" s="19"/>
      <c r="I146" s="19"/>
      <c r="J146" s="19"/>
      <c r="K146" s="19"/>
      <c r="L146" s="19"/>
      <c r="M146" s="19"/>
      <c r="N146" s="19"/>
    </row>
    <row r="147" spans="1:14" ht="81" customHeight="1">
      <c r="A147" s="23" t="s">
        <v>7</v>
      </c>
      <c r="B147" s="23"/>
      <c r="C147" s="23"/>
      <c r="D147" s="23"/>
      <c r="E147" s="23"/>
      <c r="F147" s="23"/>
      <c r="G147" s="23"/>
      <c r="H147" s="23"/>
      <c r="I147" s="23"/>
      <c r="J147" s="23"/>
      <c r="K147" s="23"/>
      <c r="L147" s="23"/>
      <c r="M147" s="23"/>
      <c r="N147" s="23"/>
    </row>
    <row r="148" spans="1:14" ht="12.75">
      <c r="A148" s="19"/>
      <c r="B148" s="19"/>
      <c r="C148" s="19"/>
      <c r="D148" s="19"/>
      <c r="E148" s="19"/>
      <c r="F148" s="19"/>
      <c r="G148" s="19"/>
      <c r="H148" s="19"/>
      <c r="I148" s="19"/>
      <c r="J148" s="19"/>
      <c r="K148" s="19"/>
      <c r="L148" s="19"/>
      <c r="M148" s="19"/>
      <c r="N148" s="19"/>
    </row>
    <row r="149" spans="1:14" ht="12.75">
      <c r="A149" s="9"/>
      <c r="B149" s="9"/>
      <c r="C149" s="9"/>
      <c r="D149" s="9"/>
      <c r="E149" s="9"/>
      <c r="F149" s="9"/>
      <c r="G149" s="9"/>
      <c r="H149" s="9"/>
      <c r="I149" s="9"/>
      <c r="J149" s="9"/>
      <c r="K149" s="9"/>
      <c r="L149" s="9"/>
      <c r="M149" s="9"/>
      <c r="N149" s="9"/>
    </row>
    <row r="150" spans="1:14" ht="12.75">
      <c r="A150" s="5"/>
      <c r="B150" s="8"/>
      <c r="C150" s="8"/>
      <c r="D150" s="8"/>
      <c r="E150" s="8"/>
      <c r="F150" s="8"/>
      <c r="G150" s="8"/>
      <c r="H150" s="8"/>
      <c r="I150" s="8"/>
      <c r="J150" s="8"/>
      <c r="K150" s="8"/>
      <c r="L150" s="8"/>
      <c r="M150" s="8"/>
      <c r="N150" s="8"/>
    </row>
  </sheetData>
  <sheetProtection sheet="1" objects="1" scenarios="1" selectLockedCells="1"/>
  <mergeCells count="157">
    <mergeCell ref="D82:E82"/>
    <mergeCell ref="D83:E83"/>
    <mergeCell ref="D108:E108"/>
    <mergeCell ref="A83:C83"/>
    <mergeCell ref="A92:C92"/>
    <mergeCell ref="A99:C99"/>
    <mergeCell ref="A108:C108"/>
    <mergeCell ref="A2:J2"/>
    <mergeCell ref="A11:E11"/>
    <mergeCell ref="A12:E14"/>
    <mergeCell ref="A3:N3"/>
    <mergeCell ref="A4:N4"/>
    <mergeCell ref="A5:N5"/>
    <mergeCell ref="A6:N6"/>
    <mergeCell ref="A7:N7"/>
    <mergeCell ref="A9:N9"/>
    <mergeCell ref="A115:C115"/>
    <mergeCell ref="H113:I114"/>
    <mergeCell ref="D115:E115"/>
    <mergeCell ref="H115:J115"/>
    <mergeCell ref="D125:E125"/>
    <mergeCell ref="A132:C132"/>
    <mergeCell ref="D132:E132"/>
    <mergeCell ref="H132:J132"/>
    <mergeCell ref="H125:J125"/>
    <mergeCell ref="D126:E126"/>
    <mergeCell ref="H126:J126"/>
    <mergeCell ref="A125:C125"/>
    <mergeCell ref="D133:E133"/>
    <mergeCell ref="H133:J133"/>
    <mergeCell ref="D129:E129"/>
    <mergeCell ref="H129:I130"/>
    <mergeCell ref="D131:E131"/>
    <mergeCell ref="H131:J131"/>
    <mergeCell ref="D130:E130"/>
    <mergeCell ref="H124:J124"/>
    <mergeCell ref="D123:E123"/>
    <mergeCell ref="D117:E117"/>
    <mergeCell ref="H117:J117"/>
    <mergeCell ref="D122:E122"/>
    <mergeCell ref="H122:I123"/>
    <mergeCell ref="D124:E124"/>
    <mergeCell ref="D116:E116"/>
    <mergeCell ref="H116:J116"/>
    <mergeCell ref="D110:E110"/>
    <mergeCell ref="H110:J110"/>
    <mergeCell ref="D113:E113"/>
    <mergeCell ref="D85:E85"/>
    <mergeCell ref="D78:E78"/>
    <mergeCell ref="H108:J108"/>
    <mergeCell ref="D109:E109"/>
    <mergeCell ref="H109:J109"/>
    <mergeCell ref="D97:E97"/>
    <mergeCell ref="D99:E99"/>
    <mergeCell ref="H99:J99"/>
    <mergeCell ref="D98:E98"/>
    <mergeCell ref="H97:I98"/>
    <mergeCell ref="D106:E106"/>
    <mergeCell ref="D92:E92"/>
    <mergeCell ref="H82:I82"/>
    <mergeCell ref="H106:I107"/>
    <mergeCell ref="D90:E90"/>
    <mergeCell ref="H101:J101"/>
    <mergeCell ref="D101:E101"/>
    <mergeCell ref="D100:E100"/>
    <mergeCell ref="D93:E93"/>
    <mergeCell ref="H93:J93"/>
    <mergeCell ref="H100:J100"/>
    <mergeCell ref="H84:J84"/>
    <mergeCell ref="H85:J85"/>
    <mergeCell ref="H78:J78"/>
    <mergeCell ref="H90:I91"/>
    <mergeCell ref="A16:N16"/>
    <mergeCell ref="F51:G51"/>
    <mergeCell ref="A60:N60"/>
    <mergeCell ref="H92:J92"/>
    <mergeCell ref="A20:N20"/>
    <mergeCell ref="B38:G38"/>
    <mergeCell ref="A34:J34"/>
    <mergeCell ref="A24:F24"/>
    <mergeCell ref="A26:C26"/>
    <mergeCell ref="A27:C27"/>
    <mergeCell ref="A22:F22"/>
    <mergeCell ref="A31:C31"/>
    <mergeCell ref="A29:C29"/>
    <mergeCell ref="F29:N29"/>
    <mergeCell ref="B37:G37"/>
    <mergeCell ref="N77:N79"/>
    <mergeCell ref="A32:C32"/>
    <mergeCell ref="A42:H42"/>
    <mergeCell ref="H35:J36"/>
    <mergeCell ref="B39:G39"/>
    <mergeCell ref="B40:G40"/>
    <mergeCell ref="B36:C36"/>
    <mergeCell ref="D79:E79"/>
    <mergeCell ref="H77:J77"/>
    <mergeCell ref="H76:I76"/>
    <mergeCell ref="B56:C56"/>
    <mergeCell ref="D76:E76"/>
    <mergeCell ref="A77:C77"/>
    <mergeCell ref="D77:E77"/>
    <mergeCell ref="B63:N63"/>
    <mergeCell ref="B64:N64"/>
    <mergeCell ref="B65:N65"/>
    <mergeCell ref="A66:N66"/>
    <mergeCell ref="A62:N62"/>
    <mergeCell ref="A44:N44"/>
    <mergeCell ref="A127:C127"/>
    <mergeCell ref="H79:J79"/>
    <mergeCell ref="D84:E84"/>
    <mergeCell ref="A126:C126"/>
    <mergeCell ref="H83:J83"/>
    <mergeCell ref="D94:E94"/>
    <mergeCell ref="H94:J94"/>
    <mergeCell ref="D91:E91"/>
    <mergeCell ref="L75:N75"/>
    <mergeCell ref="C71:K71"/>
    <mergeCell ref="D50:G50"/>
    <mergeCell ref="B53:C53"/>
    <mergeCell ref="D51:E51"/>
    <mergeCell ref="B54:C54"/>
    <mergeCell ref="B55:C55"/>
    <mergeCell ref="A69:N69"/>
    <mergeCell ref="K51:L51"/>
    <mergeCell ref="N124:N126"/>
    <mergeCell ref="A8:N8"/>
    <mergeCell ref="A46:F46"/>
    <mergeCell ref="B47:F47"/>
    <mergeCell ref="B48:F48"/>
    <mergeCell ref="J46:N46"/>
    <mergeCell ref="A50:A51"/>
    <mergeCell ref="A68:N68"/>
    <mergeCell ref="A18:D18"/>
    <mergeCell ref="A58:G58"/>
    <mergeCell ref="E144:N144"/>
    <mergeCell ref="D141:N141"/>
    <mergeCell ref="D142:N142"/>
    <mergeCell ref="D143:N143"/>
    <mergeCell ref="B150:N150"/>
    <mergeCell ref="L112:N112"/>
    <mergeCell ref="L121:N121"/>
    <mergeCell ref="L128:N128"/>
    <mergeCell ref="A136:N136"/>
    <mergeCell ref="A138:N138"/>
    <mergeCell ref="A145:N145"/>
    <mergeCell ref="A149:N149"/>
    <mergeCell ref="A147:N147"/>
    <mergeCell ref="L105:N105"/>
    <mergeCell ref="N92:N94"/>
    <mergeCell ref="N108:N110"/>
    <mergeCell ref="A1:N1"/>
    <mergeCell ref="L81:N81"/>
    <mergeCell ref="L89:N89"/>
    <mergeCell ref="L96:N96"/>
    <mergeCell ref="H50:N50"/>
    <mergeCell ref="H51:I51"/>
    <mergeCell ref="A73:J73"/>
  </mergeCells>
  <hyperlinks>
    <hyperlink ref="D141" r:id="rId1" display="http://www.hunterplastics.co.uk/rainwater/gutterdesign/default.html"/>
    <hyperlink ref="D142" r:id="rId2" display="http://copper.org/applications/architecture/arch_dhb/gutters_downspouts/downspouts.html"/>
    <hyperlink ref="D143" r:id="rId3" display="http://members.ozemail.com.au/~ksengs/DPcalc.html"/>
  </hyperlinks>
  <printOptions/>
  <pageMargins left="0.25" right="0.25" top="0.25" bottom="0.5" header="0" footer="0.5"/>
  <pageSetup fitToHeight="5" fitToWidth="1" orientation="portrait" scale="82" r:id="rId5"/>
  <drawing r:id="rId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Synergy Services</dc:creator>
  <cp:keywords/>
  <dc:description/>
  <cp:lastModifiedBy>Synergy Services</cp:lastModifiedBy>
  <cp:lastPrinted>2006-09-25T23:34:46Z</cp:lastPrinted>
  <dcterms:created xsi:type="dcterms:W3CDTF">2006-08-17T18:17:03Z</dcterms:created>
  <dcterms:modified xsi:type="dcterms:W3CDTF">2006-11-16T23:53:44Z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